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9.9.9.190\ketoan\Ke toan nam 2022\Cong bo thong tin\Quy 04.2022\SCMS\"/>
    </mc:Choice>
  </mc:AlternateContent>
  <bookViews>
    <workbookView xWindow="0" yWindow="0" windowWidth="28800" windowHeight="11835"/>
  </bookViews>
  <sheets>
    <sheet name="Trang bìa" sheetId="1" r:id="rId1"/>
    <sheet name="Setting" sheetId="2" state="hidden" r:id="rId2"/>
    <sheet name="BCTCR_06608" sheetId="3" r:id="rId3"/>
    <sheet name="7672_hidden" sheetId="4" state="hidden" r:id="rId4"/>
    <sheet name="CCTTCR_06609" sheetId="5" r:id="rId5"/>
    <sheet name="7668_hidden" sheetId="6" state="hidden" r:id="rId6"/>
    <sheet name="BCKQHDR_06610" sheetId="7" r:id="rId7"/>
    <sheet name="7665_hidden" sheetId="8" state="hidden" r:id="rId8"/>
    <sheet name="BCLCTTRTT_06611" sheetId="9" r:id="rId9"/>
    <sheet name="7669_hidden" sheetId="10" state="hidden" r:id="rId10"/>
    <sheet name="PLCTTHDMGUTCKHTT_06612" sheetId="11" r:id="rId11"/>
    <sheet name="7666_hidden" sheetId="12" state="hidden" r:id="rId12"/>
    <sheet name="BCLCTTRGT_06613" sheetId="13" r:id="rId13"/>
    <sheet name="7671_hidden" sheetId="14" state="hidden" r:id="rId14"/>
    <sheet name="PLCTTHDMGUTCKHGT_06614" sheetId="15" r:id="rId15"/>
    <sheet name="7667_hidden" sheetId="16" state="hidden" r:id="rId16"/>
    <sheet name="BCTHBDVCSH_06615" sheetId="17" r:id="rId17"/>
    <sheet name="7670_hidden" sheetId="18" state="hidden" r:id="rId1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8" l="1"/>
  <c r="J29" i="18"/>
  <c r="I29" i="18"/>
  <c r="H29" i="18"/>
  <c r="G29" i="18"/>
  <c r="F29" i="18"/>
  <c r="E29" i="18"/>
  <c r="D29" i="18"/>
  <c r="C29" i="18"/>
  <c r="B29" i="18"/>
  <c r="A29" i="18"/>
  <c r="K28" i="18"/>
  <c r="J28" i="18"/>
  <c r="I28" i="18"/>
  <c r="H28" i="18"/>
  <c r="G28" i="18"/>
  <c r="F28" i="18"/>
  <c r="E28" i="18"/>
  <c r="D28" i="18"/>
  <c r="C28" i="18"/>
  <c r="B28" i="18"/>
  <c r="A28" i="18"/>
  <c r="K27" i="18"/>
  <c r="J27" i="18"/>
  <c r="I27" i="18"/>
  <c r="H27" i="18"/>
  <c r="G27" i="18"/>
  <c r="F27" i="18"/>
  <c r="E27" i="18"/>
  <c r="D27" i="18"/>
  <c r="C27" i="18"/>
  <c r="B27" i="18"/>
  <c r="A27" i="18"/>
  <c r="K26" i="18"/>
  <c r="J26" i="18"/>
  <c r="I26" i="18"/>
  <c r="H26" i="18"/>
  <c r="G26" i="18"/>
  <c r="F26" i="18"/>
  <c r="E26" i="18"/>
  <c r="D26" i="18"/>
  <c r="C26" i="18"/>
  <c r="B26" i="18"/>
  <c r="A26" i="18"/>
  <c r="K25" i="18"/>
  <c r="J25" i="18"/>
  <c r="I25" i="18"/>
  <c r="H25" i="18"/>
  <c r="G25" i="18"/>
  <c r="F25" i="18"/>
  <c r="E25" i="18"/>
  <c r="D25" i="18"/>
  <c r="C25" i="18"/>
  <c r="B25" i="18"/>
  <c r="A25" i="18"/>
  <c r="K24" i="18"/>
  <c r="J24" i="18"/>
  <c r="I24" i="18"/>
  <c r="H24" i="18"/>
  <c r="G24" i="18"/>
  <c r="F24" i="18"/>
  <c r="E24" i="18"/>
  <c r="D24" i="18"/>
  <c r="C24" i="18"/>
  <c r="B24" i="18"/>
  <c r="A24" i="18"/>
  <c r="K23" i="18"/>
  <c r="J23" i="18"/>
  <c r="I23" i="18"/>
  <c r="H23" i="18"/>
  <c r="G23" i="18"/>
  <c r="F23" i="18"/>
  <c r="E23" i="18"/>
  <c r="D23" i="18"/>
  <c r="C23" i="18"/>
  <c r="B23" i="18"/>
  <c r="A23" i="18"/>
  <c r="K22" i="18"/>
  <c r="J22" i="18"/>
  <c r="I22" i="18"/>
  <c r="H22" i="18"/>
  <c r="G22" i="18"/>
  <c r="F22" i="18"/>
  <c r="E22" i="18"/>
  <c r="D22" i="18"/>
  <c r="C22" i="18"/>
  <c r="B22" i="18"/>
  <c r="A22" i="18"/>
  <c r="K21" i="18"/>
  <c r="J21" i="18"/>
  <c r="I21" i="18"/>
  <c r="H21" i="18"/>
  <c r="G21" i="18"/>
  <c r="F21" i="18"/>
  <c r="E21" i="18"/>
  <c r="D21" i="18"/>
  <c r="C21" i="18"/>
  <c r="B21" i="18"/>
  <c r="A21" i="18"/>
  <c r="K20" i="18"/>
  <c r="J20" i="18"/>
  <c r="I20" i="18"/>
  <c r="H20" i="18"/>
  <c r="G20" i="18"/>
  <c r="F20" i="18"/>
  <c r="E20" i="18"/>
  <c r="D20" i="18"/>
  <c r="C20" i="18"/>
  <c r="B20" i="18"/>
  <c r="A20" i="18"/>
  <c r="K19" i="18"/>
  <c r="J19" i="18"/>
  <c r="I19" i="18"/>
  <c r="H19" i="18"/>
  <c r="G19" i="18"/>
  <c r="F19" i="18"/>
  <c r="E19" i="18"/>
  <c r="D19" i="18"/>
  <c r="C19" i="18"/>
  <c r="B19" i="18"/>
  <c r="A19" i="18"/>
  <c r="K18" i="18"/>
  <c r="J18" i="18"/>
  <c r="I18" i="18"/>
  <c r="H18" i="18"/>
  <c r="G18" i="18"/>
  <c r="F18" i="18"/>
  <c r="E18" i="18"/>
  <c r="D18" i="18"/>
  <c r="C18" i="18"/>
  <c r="B18" i="18"/>
  <c r="A18" i="18"/>
  <c r="K17" i="18"/>
  <c r="J17" i="18"/>
  <c r="I17" i="18"/>
  <c r="H17" i="18"/>
  <c r="G17" i="18"/>
  <c r="F17" i="18"/>
  <c r="E17" i="18"/>
  <c r="D17" i="18"/>
  <c r="C17" i="18"/>
  <c r="B17" i="18"/>
  <c r="A17" i="18"/>
  <c r="K16" i="18"/>
  <c r="J16" i="18"/>
  <c r="I16" i="18"/>
  <c r="H16" i="18"/>
  <c r="G16" i="18"/>
  <c r="F16" i="18"/>
  <c r="E16" i="18"/>
  <c r="D16" i="18"/>
  <c r="C16" i="18"/>
  <c r="B16" i="18"/>
  <c r="A16" i="18"/>
  <c r="K15" i="18"/>
  <c r="J15" i="18"/>
  <c r="I15" i="18"/>
  <c r="H15" i="18"/>
  <c r="G15" i="18"/>
  <c r="F15" i="18"/>
  <c r="E15" i="18"/>
  <c r="D15" i="18"/>
  <c r="C15" i="18"/>
  <c r="B15" i="18"/>
  <c r="A15" i="18"/>
  <c r="K14" i="18"/>
  <c r="J14" i="18"/>
  <c r="I14" i="18"/>
  <c r="H14" i="18"/>
  <c r="G14" i="18"/>
  <c r="F14" i="18"/>
  <c r="E14" i="18"/>
  <c r="D14" i="18"/>
  <c r="C14" i="18"/>
  <c r="B14" i="18"/>
  <c r="A14" i="18"/>
  <c r="K13" i="18"/>
  <c r="J13" i="18"/>
  <c r="I13" i="18"/>
  <c r="H13" i="18"/>
  <c r="G13" i="18"/>
  <c r="F13" i="18"/>
  <c r="E13" i="18"/>
  <c r="D13" i="18"/>
  <c r="C13" i="18"/>
  <c r="B13" i="18"/>
  <c r="A13" i="18"/>
  <c r="K12" i="18"/>
  <c r="J12" i="18"/>
  <c r="I12" i="18"/>
  <c r="H12" i="18"/>
  <c r="G12" i="18"/>
  <c r="F12" i="18"/>
  <c r="E12" i="18"/>
  <c r="D12" i="18"/>
  <c r="C12" i="18"/>
  <c r="B12" i="18"/>
  <c r="A12" i="18"/>
  <c r="K11" i="18"/>
  <c r="J11" i="18"/>
  <c r="I11" i="18"/>
  <c r="H11" i="18"/>
  <c r="G11" i="18"/>
  <c r="F11" i="18"/>
  <c r="E11" i="18"/>
  <c r="D11" i="18"/>
  <c r="C11" i="18"/>
  <c r="B11" i="18"/>
  <c r="A11" i="18"/>
  <c r="K10" i="18"/>
  <c r="J10" i="18"/>
  <c r="I10" i="18"/>
  <c r="H10" i="18"/>
  <c r="G10" i="18"/>
  <c r="F10" i="18"/>
  <c r="E10" i="18"/>
  <c r="D10" i="18"/>
  <c r="C10" i="18"/>
  <c r="B10" i="18"/>
  <c r="A10" i="18"/>
  <c r="K9" i="18"/>
  <c r="J9" i="18"/>
  <c r="I9" i="18"/>
  <c r="H9" i="18"/>
  <c r="G9" i="18"/>
  <c r="F9" i="18"/>
  <c r="E9" i="18"/>
  <c r="D9" i="18"/>
  <c r="C9" i="18"/>
  <c r="B9" i="18"/>
  <c r="A9" i="18"/>
  <c r="K8" i="18"/>
  <c r="J8" i="18"/>
  <c r="I8" i="18"/>
  <c r="H8" i="18"/>
  <c r="G8" i="18"/>
  <c r="F8" i="18"/>
  <c r="E8" i="18"/>
  <c r="D8" i="18"/>
  <c r="C8" i="18"/>
  <c r="B8" i="18"/>
  <c r="A8" i="18"/>
  <c r="K7" i="18"/>
  <c r="J7" i="18"/>
  <c r="I7" i="18"/>
  <c r="H7" i="18"/>
  <c r="G7" i="18"/>
  <c r="F7" i="18"/>
  <c r="E7" i="18"/>
  <c r="D7" i="18"/>
  <c r="C7" i="18"/>
  <c r="B7" i="18"/>
  <c r="A7" i="18"/>
  <c r="E40" i="16"/>
  <c r="D40" i="16"/>
  <c r="C40" i="16"/>
  <c r="B40" i="16"/>
  <c r="A40" i="16"/>
  <c r="E39" i="16"/>
  <c r="D39" i="16"/>
  <c r="C39" i="16"/>
  <c r="B39" i="16"/>
  <c r="A39" i="16"/>
  <c r="E38" i="16"/>
  <c r="D38" i="16"/>
  <c r="C38" i="16"/>
  <c r="B38" i="16"/>
  <c r="A38" i="16"/>
  <c r="E37" i="16"/>
  <c r="D37" i="16"/>
  <c r="C37" i="16"/>
  <c r="B37" i="16"/>
  <c r="A37" i="16"/>
  <c r="E36" i="16"/>
  <c r="D36" i="16"/>
  <c r="C36" i="16"/>
  <c r="B36" i="16"/>
  <c r="A36" i="16"/>
  <c r="E35" i="16"/>
  <c r="D35" i="16"/>
  <c r="C35" i="16"/>
  <c r="B35" i="16"/>
  <c r="A35" i="16"/>
  <c r="E34" i="16"/>
  <c r="D34" i="16"/>
  <c r="C34" i="16"/>
  <c r="B34" i="16"/>
  <c r="A34" i="16"/>
  <c r="E33" i="16"/>
  <c r="D33" i="16"/>
  <c r="C33" i="16"/>
  <c r="B33" i="16"/>
  <c r="A33" i="16"/>
  <c r="E32" i="16"/>
  <c r="D32" i="16"/>
  <c r="C32" i="16"/>
  <c r="B32" i="16"/>
  <c r="A32" i="16"/>
  <c r="E31" i="16"/>
  <c r="D31" i="16"/>
  <c r="C31" i="16"/>
  <c r="B31" i="16"/>
  <c r="A31" i="16"/>
  <c r="E30" i="16"/>
  <c r="D30" i="16"/>
  <c r="C30" i="16"/>
  <c r="B30" i="16"/>
  <c r="A30" i="16"/>
  <c r="E29" i="16"/>
  <c r="D29" i="16"/>
  <c r="C29" i="16"/>
  <c r="B29" i="16"/>
  <c r="A29" i="16"/>
  <c r="E28" i="16"/>
  <c r="D28" i="16"/>
  <c r="C28" i="16"/>
  <c r="B28" i="16"/>
  <c r="A28" i="16"/>
  <c r="E27" i="16"/>
  <c r="D27" i="16"/>
  <c r="C27" i="16"/>
  <c r="B27" i="16"/>
  <c r="A27" i="16"/>
  <c r="E26" i="16"/>
  <c r="D26" i="16"/>
  <c r="C26" i="16"/>
  <c r="B26" i="16"/>
  <c r="A26" i="16"/>
  <c r="E25" i="16"/>
  <c r="D25" i="16"/>
  <c r="C25" i="16"/>
  <c r="B25" i="16"/>
  <c r="A25" i="16"/>
  <c r="E24" i="16"/>
  <c r="D24" i="16"/>
  <c r="C24" i="16"/>
  <c r="B24" i="16"/>
  <c r="A24" i="16"/>
  <c r="E23" i="16"/>
  <c r="D23" i="16"/>
  <c r="C23" i="16"/>
  <c r="B23" i="16"/>
  <c r="A23" i="16"/>
  <c r="E22" i="16"/>
  <c r="D22" i="16"/>
  <c r="C22" i="16"/>
  <c r="B22" i="16"/>
  <c r="A22" i="16"/>
  <c r="E21" i="16"/>
  <c r="D21" i="16"/>
  <c r="C21" i="16"/>
  <c r="B21" i="16"/>
  <c r="A21" i="16"/>
  <c r="E20" i="16"/>
  <c r="D20" i="16"/>
  <c r="C20" i="16"/>
  <c r="B20" i="16"/>
  <c r="A20" i="16"/>
  <c r="E19" i="16"/>
  <c r="D19" i="16"/>
  <c r="C19" i="16"/>
  <c r="B19" i="16"/>
  <c r="A19" i="16"/>
  <c r="E18" i="16"/>
  <c r="D18" i="16"/>
  <c r="C18" i="16"/>
  <c r="B18" i="16"/>
  <c r="A18" i="16"/>
  <c r="E17" i="16"/>
  <c r="D17" i="16"/>
  <c r="C17" i="16"/>
  <c r="B17" i="16"/>
  <c r="A17" i="16"/>
  <c r="E16" i="16"/>
  <c r="D16" i="16"/>
  <c r="C16" i="16"/>
  <c r="B16" i="16"/>
  <c r="A16" i="16"/>
  <c r="E15" i="16"/>
  <c r="D15" i="16"/>
  <c r="C15" i="16"/>
  <c r="B15" i="16"/>
  <c r="A15" i="16"/>
  <c r="E14" i="16"/>
  <c r="D14" i="16"/>
  <c r="C14" i="16"/>
  <c r="B14" i="16"/>
  <c r="A14" i="16"/>
  <c r="E13" i="16"/>
  <c r="D13" i="16"/>
  <c r="C13" i="16"/>
  <c r="B13" i="16"/>
  <c r="A13" i="16"/>
  <c r="E12" i="16"/>
  <c r="D12" i="16"/>
  <c r="C12" i="16"/>
  <c r="B12" i="16"/>
  <c r="A12" i="16"/>
  <c r="E11" i="16"/>
  <c r="D11" i="16"/>
  <c r="C11" i="16"/>
  <c r="B11" i="16"/>
  <c r="A11" i="16"/>
  <c r="E10" i="16"/>
  <c r="D10" i="16"/>
  <c r="C10" i="16"/>
  <c r="B10" i="16"/>
  <c r="A10" i="16"/>
  <c r="E9" i="16"/>
  <c r="D9" i="16"/>
  <c r="C9" i="16"/>
  <c r="B9" i="16"/>
  <c r="A9" i="16"/>
  <c r="E8" i="16"/>
  <c r="D8" i="16"/>
  <c r="C8" i="16"/>
  <c r="B8" i="16"/>
  <c r="A8" i="16"/>
  <c r="E7" i="16"/>
  <c r="D7" i="16"/>
  <c r="C7" i="16"/>
  <c r="B7" i="16"/>
  <c r="A7" i="16"/>
  <c r="E6" i="16"/>
  <c r="D6" i="16"/>
  <c r="C6" i="16"/>
  <c r="B6" i="16"/>
  <c r="A6" i="16"/>
  <c r="E5" i="16"/>
  <c r="D5" i="16"/>
  <c r="C5" i="16"/>
  <c r="B5" i="16"/>
  <c r="A5" i="16"/>
  <c r="E4" i="16"/>
  <c r="D4" i="16"/>
  <c r="C4" i="16"/>
  <c r="A4" i="16"/>
  <c r="E3" i="16"/>
  <c r="D3" i="16"/>
  <c r="C3" i="16"/>
  <c r="B3" i="16"/>
  <c r="A3" i="16"/>
  <c r="E80" i="14"/>
  <c r="D80" i="14"/>
  <c r="C80" i="14"/>
  <c r="B80" i="14"/>
  <c r="A80" i="14"/>
  <c r="E79" i="14"/>
  <c r="D79" i="14"/>
  <c r="C79" i="14"/>
  <c r="B79" i="14"/>
  <c r="A79" i="14"/>
  <c r="E78" i="14"/>
  <c r="D78" i="14"/>
  <c r="C78" i="14"/>
  <c r="B78" i="14"/>
  <c r="A78" i="14"/>
  <c r="E77" i="14"/>
  <c r="D77" i="14"/>
  <c r="C77" i="14"/>
  <c r="B77" i="14"/>
  <c r="A77" i="14"/>
  <c r="E76" i="14"/>
  <c r="D76" i="14"/>
  <c r="C76" i="14"/>
  <c r="B76" i="14"/>
  <c r="A76" i="14"/>
  <c r="E75" i="14"/>
  <c r="D75" i="14"/>
  <c r="C75" i="14"/>
  <c r="B75" i="14"/>
  <c r="A75" i="14"/>
  <c r="E74" i="14"/>
  <c r="D74" i="14"/>
  <c r="C74" i="14"/>
  <c r="B74" i="14"/>
  <c r="A74" i="14"/>
  <c r="E73" i="14"/>
  <c r="D73" i="14"/>
  <c r="C73" i="14"/>
  <c r="B73" i="14"/>
  <c r="A73" i="14"/>
  <c r="E72" i="14"/>
  <c r="D72" i="14"/>
  <c r="C72" i="14"/>
  <c r="B72" i="14"/>
  <c r="A72" i="14"/>
  <c r="E71" i="14"/>
  <c r="D71" i="14"/>
  <c r="C71" i="14"/>
  <c r="B71" i="14"/>
  <c r="A71" i="14"/>
  <c r="E70" i="14"/>
  <c r="D70" i="14"/>
  <c r="C70" i="14"/>
  <c r="B70" i="14"/>
  <c r="A70" i="14"/>
  <c r="E69" i="14"/>
  <c r="D69" i="14"/>
  <c r="C69" i="14"/>
  <c r="B69" i="14"/>
  <c r="A69" i="14"/>
  <c r="E68" i="14"/>
  <c r="D68" i="14"/>
  <c r="C68" i="14"/>
  <c r="B68" i="14"/>
  <c r="A68" i="14"/>
  <c r="E67" i="14"/>
  <c r="D67" i="14"/>
  <c r="C67" i="14"/>
  <c r="B67" i="14"/>
  <c r="A67" i="14"/>
  <c r="E66" i="14"/>
  <c r="D66" i="14"/>
  <c r="C66" i="14"/>
  <c r="B66" i="14"/>
  <c r="A66" i="14"/>
  <c r="E65" i="14"/>
  <c r="D65" i="14"/>
  <c r="C65" i="14"/>
  <c r="B65" i="14"/>
  <c r="A65" i="14"/>
  <c r="E64" i="14"/>
  <c r="D64" i="14"/>
  <c r="C64" i="14"/>
  <c r="B64" i="14"/>
  <c r="A64" i="14"/>
  <c r="E63" i="14"/>
  <c r="D63" i="14"/>
  <c r="C63" i="14"/>
  <c r="B63" i="14"/>
  <c r="A63" i="14"/>
  <c r="E62" i="14"/>
  <c r="D62" i="14"/>
  <c r="C62" i="14"/>
  <c r="B62" i="14"/>
  <c r="A62" i="14"/>
  <c r="E61" i="14"/>
  <c r="D61" i="14"/>
  <c r="C61" i="14"/>
  <c r="B61" i="14"/>
  <c r="A61" i="14"/>
  <c r="E60" i="14"/>
  <c r="D60" i="14"/>
  <c r="C60" i="14"/>
  <c r="B60" i="14"/>
  <c r="A60" i="14"/>
  <c r="E59" i="14"/>
  <c r="D59" i="14"/>
  <c r="C59" i="14"/>
  <c r="A59" i="14"/>
  <c r="E58" i="14"/>
  <c r="D58" i="14"/>
  <c r="C58" i="14"/>
  <c r="B58" i="14"/>
  <c r="A58" i="14"/>
  <c r="E57" i="14"/>
  <c r="D57" i="14"/>
  <c r="C57" i="14"/>
  <c r="B57" i="14"/>
  <c r="A57" i="14"/>
  <c r="E56" i="14"/>
  <c r="D56" i="14"/>
  <c r="C56" i="14"/>
  <c r="B56" i="14"/>
  <c r="A56" i="14"/>
  <c r="E55" i="14"/>
  <c r="D55" i="14"/>
  <c r="C55" i="14"/>
  <c r="B55" i="14"/>
  <c r="A55" i="14"/>
  <c r="E54" i="14"/>
  <c r="D54" i="14"/>
  <c r="C54" i="14"/>
  <c r="B54" i="14"/>
  <c r="A54" i="14"/>
  <c r="E53" i="14"/>
  <c r="D53" i="14"/>
  <c r="C53" i="14"/>
  <c r="B53" i="14"/>
  <c r="A53" i="14"/>
  <c r="E52" i="14"/>
  <c r="D52" i="14"/>
  <c r="C52" i="14"/>
  <c r="A52" i="14"/>
  <c r="E51" i="14"/>
  <c r="D51" i="14"/>
  <c r="C51" i="14"/>
  <c r="B51" i="14"/>
  <c r="A51" i="14"/>
  <c r="E50" i="14"/>
  <c r="D50" i="14"/>
  <c r="C50" i="14"/>
  <c r="B50" i="14"/>
  <c r="A50" i="14"/>
  <c r="E49" i="14"/>
  <c r="D49" i="14"/>
  <c r="C49" i="14"/>
  <c r="B49" i="14"/>
  <c r="A49" i="14"/>
  <c r="E48" i="14"/>
  <c r="D48" i="14"/>
  <c r="C48" i="14"/>
  <c r="B48" i="14"/>
  <c r="A48" i="14"/>
  <c r="E47" i="14"/>
  <c r="D47" i="14"/>
  <c r="C47" i="14"/>
  <c r="B47" i="14"/>
  <c r="A47" i="14"/>
  <c r="E46" i="14"/>
  <c r="D46" i="14"/>
  <c r="C46" i="14"/>
  <c r="B46" i="14"/>
  <c r="A46" i="14"/>
  <c r="E45" i="14"/>
  <c r="D45" i="14"/>
  <c r="C45" i="14"/>
  <c r="B45" i="14"/>
  <c r="A45" i="14"/>
  <c r="E44" i="14"/>
  <c r="D44" i="14"/>
  <c r="C44" i="14"/>
  <c r="B44" i="14"/>
  <c r="A44" i="14"/>
  <c r="E43" i="14"/>
  <c r="D43" i="14"/>
  <c r="C43" i="14"/>
  <c r="B43" i="14"/>
  <c r="A43" i="14"/>
  <c r="E42" i="14"/>
  <c r="D42" i="14"/>
  <c r="C42" i="14"/>
  <c r="B42" i="14"/>
  <c r="A42" i="14"/>
  <c r="E41" i="14"/>
  <c r="D41" i="14"/>
  <c r="C41" i="14"/>
  <c r="B41" i="14"/>
  <c r="A41" i="14"/>
  <c r="E40" i="14"/>
  <c r="D40" i="14"/>
  <c r="C40" i="14"/>
  <c r="B40" i="14"/>
  <c r="A40" i="14"/>
  <c r="E39" i="14"/>
  <c r="D39" i="14"/>
  <c r="C39" i="14"/>
  <c r="B39" i="14"/>
  <c r="A39" i="14"/>
  <c r="E38" i="14"/>
  <c r="D38" i="14"/>
  <c r="C38" i="14"/>
  <c r="B38" i="14"/>
  <c r="A38" i="14"/>
  <c r="E37" i="14"/>
  <c r="D37" i="14"/>
  <c r="C37" i="14"/>
  <c r="B37" i="14"/>
  <c r="A37" i="14"/>
  <c r="E36" i="14"/>
  <c r="D36" i="14"/>
  <c r="C36" i="14"/>
  <c r="B36" i="14"/>
  <c r="A36" i="14"/>
  <c r="E35" i="14"/>
  <c r="D35" i="14"/>
  <c r="C35" i="14"/>
  <c r="B35" i="14"/>
  <c r="A35" i="14"/>
  <c r="E34" i="14"/>
  <c r="D34" i="14"/>
  <c r="C34" i="14"/>
  <c r="B34" i="14"/>
  <c r="A34" i="14"/>
  <c r="E33" i="14"/>
  <c r="D33" i="14"/>
  <c r="C33" i="14"/>
  <c r="B33" i="14"/>
  <c r="A33" i="14"/>
  <c r="E32" i="14"/>
  <c r="D32" i="14"/>
  <c r="C32" i="14"/>
  <c r="B32" i="14"/>
  <c r="A32" i="14"/>
  <c r="E31" i="14"/>
  <c r="D31" i="14"/>
  <c r="C31" i="14"/>
  <c r="B31" i="14"/>
  <c r="A31" i="14"/>
  <c r="E30" i="14"/>
  <c r="D30" i="14"/>
  <c r="C30" i="14"/>
  <c r="B30" i="14"/>
  <c r="A30" i="14"/>
  <c r="E29" i="14"/>
  <c r="D29" i="14"/>
  <c r="C29" i="14"/>
  <c r="B29" i="14"/>
  <c r="A29" i="14"/>
  <c r="E28" i="14"/>
  <c r="D28" i="14"/>
  <c r="C28" i="14"/>
  <c r="B28" i="14"/>
  <c r="A28" i="14"/>
  <c r="E27" i="14"/>
  <c r="D27" i="14"/>
  <c r="C27" i="14"/>
  <c r="B27" i="14"/>
  <c r="A27" i="14"/>
  <c r="E26" i="14"/>
  <c r="D26" i="14"/>
  <c r="C26" i="14"/>
  <c r="B26" i="14"/>
  <c r="A26" i="14"/>
  <c r="E25" i="14"/>
  <c r="D25" i="14"/>
  <c r="C25" i="14"/>
  <c r="B25" i="14"/>
  <c r="A25" i="14"/>
  <c r="E24" i="14"/>
  <c r="D24" i="14"/>
  <c r="C24" i="14"/>
  <c r="B24" i="14"/>
  <c r="A24" i="14"/>
  <c r="E23" i="14"/>
  <c r="D23" i="14"/>
  <c r="C23" i="14"/>
  <c r="B23" i="14"/>
  <c r="A23" i="14"/>
  <c r="E22" i="14"/>
  <c r="D22" i="14"/>
  <c r="C22" i="14"/>
  <c r="B22" i="14"/>
  <c r="A22" i="14"/>
  <c r="E21" i="14"/>
  <c r="D21" i="14"/>
  <c r="C21" i="14"/>
  <c r="B21" i="14"/>
  <c r="A21" i="14"/>
  <c r="E20" i="14"/>
  <c r="D20" i="14"/>
  <c r="C20" i="14"/>
  <c r="B20" i="14"/>
  <c r="A20" i="14"/>
  <c r="E19" i="14"/>
  <c r="D19" i="14"/>
  <c r="C19" i="14"/>
  <c r="B19" i="14"/>
  <c r="A19" i="14"/>
  <c r="E18" i="14"/>
  <c r="D18" i="14"/>
  <c r="C18" i="14"/>
  <c r="B18" i="14"/>
  <c r="A18" i="14"/>
  <c r="E17" i="14"/>
  <c r="D17" i="14"/>
  <c r="C17" i="14"/>
  <c r="B17" i="14"/>
  <c r="A17" i="14"/>
  <c r="E16" i="14"/>
  <c r="D16" i="14"/>
  <c r="C16" i="14"/>
  <c r="B16" i="14"/>
  <c r="A16" i="14"/>
  <c r="E15" i="14"/>
  <c r="D15" i="14"/>
  <c r="C15" i="14"/>
  <c r="B15" i="14"/>
  <c r="A15" i="14"/>
  <c r="E14" i="14"/>
  <c r="D14" i="14"/>
  <c r="C14" i="14"/>
  <c r="B14" i="14"/>
  <c r="A14" i="14"/>
  <c r="E13" i="14"/>
  <c r="D13" i="14"/>
  <c r="C13" i="14"/>
  <c r="B13" i="14"/>
  <c r="A13" i="14"/>
  <c r="E12" i="14"/>
  <c r="D12" i="14"/>
  <c r="C12" i="14"/>
  <c r="B12" i="14"/>
  <c r="A12" i="14"/>
  <c r="E11" i="14"/>
  <c r="D11" i="14"/>
  <c r="C11" i="14"/>
  <c r="B11" i="14"/>
  <c r="A11" i="14"/>
  <c r="E10" i="14"/>
  <c r="D10" i="14"/>
  <c r="C10" i="14"/>
  <c r="B10" i="14"/>
  <c r="A10" i="14"/>
  <c r="E9" i="14"/>
  <c r="D9" i="14"/>
  <c r="C9" i="14"/>
  <c r="B9" i="14"/>
  <c r="A9" i="14"/>
  <c r="E8" i="14"/>
  <c r="D8" i="14"/>
  <c r="C8" i="14"/>
  <c r="B8" i="14"/>
  <c r="A8" i="14"/>
  <c r="E7" i="14"/>
  <c r="D7" i="14"/>
  <c r="C7" i="14"/>
  <c r="B7" i="14"/>
  <c r="A7" i="14"/>
  <c r="E6" i="14"/>
  <c r="D6" i="14"/>
  <c r="C6" i="14"/>
  <c r="A6" i="14"/>
  <c r="E5" i="14"/>
  <c r="D5" i="14"/>
  <c r="C5" i="14"/>
  <c r="B5" i="14"/>
  <c r="A5" i="14"/>
  <c r="E39" i="12"/>
  <c r="D39" i="12"/>
  <c r="C39" i="12"/>
  <c r="B39" i="12"/>
  <c r="A39" i="12"/>
  <c r="E38" i="12"/>
  <c r="D38" i="12"/>
  <c r="C38" i="12"/>
  <c r="B38" i="12"/>
  <c r="A38" i="12"/>
  <c r="E37" i="12"/>
  <c r="D37" i="12"/>
  <c r="C37" i="12"/>
  <c r="B37" i="12"/>
  <c r="A37" i="12"/>
  <c r="E36" i="12"/>
  <c r="D36" i="12"/>
  <c r="C36" i="12"/>
  <c r="B36" i="12"/>
  <c r="A36" i="12"/>
  <c r="E35" i="12"/>
  <c r="D35" i="12"/>
  <c r="C35" i="12"/>
  <c r="B35" i="12"/>
  <c r="A35" i="12"/>
  <c r="E34" i="12"/>
  <c r="D34" i="12"/>
  <c r="C34" i="12"/>
  <c r="B34" i="12"/>
  <c r="A34" i="12"/>
  <c r="E33" i="12"/>
  <c r="D33" i="12"/>
  <c r="C33" i="12"/>
  <c r="B33" i="12"/>
  <c r="A33" i="12"/>
  <c r="E32" i="12"/>
  <c r="D32" i="12"/>
  <c r="C32" i="12"/>
  <c r="B32" i="12"/>
  <c r="A32" i="12"/>
  <c r="E31" i="12"/>
  <c r="D31" i="12"/>
  <c r="C31" i="12"/>
  <c r="B31" i="12"/>
  <c r="A31" i="12"/>
  <c r="E30" i="12"/>
  <c r="D30" i="12"/>
  <c r="C30" i="12"/>
  <c r="B30" i="12"/>
  <c r="A30" i="12"/>
  <c r="E29" i="12"/>
  <c r="D29" i="12"/>
  <c r="C29" i="12"/>
  <c r="B29" i="12"/>
  <c r="A29" i="12"/>
  <c r="E28" i="12"/>
  <c r="D28" i="12"/>
  <c r="C28" i="12"/>
  <c r="B28" i="12"/>
  <c r="A28" i="12"/>
  <c r="E27" i="12"/>
  <c r="D27" i="12"/>
  <c r="C27" i="12"/>
  <c r="B27" i="12"/>
  <c r="A27" i="12"/>
  <c r="E26" i="12"/>
  <c r="D26" i="12"/>
  <c r="C26" i="12"/>
  <c r="B26" i="12"/>
  <c r="A26" i="12"/>
  <c r="E25" i="12"/>
  <c r="D25" i="12"/>
  <c r="C25" i="12"/>
  <c r="B25" i="12"/>
  <c r="A25" i="12"/>
  <c r="E24" i="12"/>
  <c r="D24" i="12"/>
  <c r="C24" i="12"/>
  <c r="B24" i="12"/>
  <c r="A24" i="12"/>
  <c r="E23" i="12"/>
  <c r="D23" i="12"/>
  <c r="C23" i="12"/>
  <c r="B23" i="12"/>
  <c r="A23" i="12"/>
  <c r="E22" i="12"/>
  <c r="D22" i="12"/>
  <c r="C22" i="12"/>
  <c r="B22" i="12"/>
  <c r="A22" i="12"/>
  <c r="E21" i="12"/>
  <c r="D21" i="12"/>
  <c r="C21" i="12"/>
  <c r="B21" i="12"/>
  <c r="A21" i="12"/>
  <c r="E20" i="12"/>
  <c r="D20" i="12"/>
  <c r="C20" i="12"/>
  <c r="B20" i="12"/>
  <c r="A20" i="12"/>
  <c r="E19" i="12"/>
  <c r="D19" i="12"/>
  <c r="C19" i="12"/>
  <c r="B19" i="12"/>
  <c r="A19" i="12"/>
  <c r="E18" i="12"/>
  <c r="D18" i="12"/>
  <c r="C18" i="12"/>
  <c r="B18" i="12"/>
  <c r="A18" i="12"/>
  <c r="E17" i="12"/>
  <c r="D17" i="12"/>
  <c r="C17" i="12"/>
  <c r="B17" i="12"/>
  <c r="A17" i="12"/>
  <c r="E16" i="12"/>
  <c r="D16" i="12"/>
  <c r="C16" i="12"/>
  <c r="B16" i="12"/>
  <c r="A16" i="12"/>
  <c r="E15" i="12"/>
  <c r="D15" i="12"/>
  <c r="C15" i="12"/>
  <c r="B15" i="12"/>
  <c r="A15" i="12"/>
  <c r="E14" i="12"/>
  <c r="D14" i="12"/>
  <c r="C14" i="12"/>
  <c r="B14" i="12"/>
  <c r="A14" i="12"/>
  <c r="E13" i="12"/>
  <c r="D13" i="12"/>
  <c r="C13" i="12"/>
  <c r="B13" i="12"/>
  <c r="A13" i="12"/>
  <c r="E12" i="12"/>
  <c r="D12" i="12"/>
  <c r="C12" i="12"/>
  <c r="B12" i="12"/>
  <c r="A12" i="12"/>
  <c r="E11" i="12"/>
  <c r="D11" i="12"/>
  <c r="C11" i="12"/>
  <c r="B11" i="12"/>
  <c r="A11" i="12"/>
  <c r="E10" i="12"/>
  <c r="D10" i="12"/>
  <c r="C10" i="12"/>
  <c r="B10" i="12"/>
  <c r="A10" i="12"/>
  <c r="E9" i="12"/>
  <c r="D9" i="12"/>
  <c r="C9" i="12"/>
  <c r="B9" i="12"/>
  <c r="A9" i="12"/>
  <c r="E8" i="12"/>
  <c r="D8" i="12"/>
  <c r="C8" i="12"/>
  <c r="B8" i="12"/>
  <c r="A8" i="12"/>
  <c r="E7" i="12"/>
  <c r="D7" i="12"/>
  <c r="C7" i="12"/>
  <c r="B7" i="12"/>
  <c r="A7" i="12"/>
  <c r="E6" i="12"/>
  <c r="D6" i="12"/>
  <c r="C6" i="12"/>
  <c r="B6" i="12"/>
  <c r="A6" i="12"/>
  <c r="E5" i="12"/>
  <c r="D5" i="12"/>
  <c r="C5" i="12"/>
  <c r="A5" i="12"/>
  <c r="E4" i="12"/>
  <c r="D4" i="12"/>
  <c r="C4" i="12"/>
  <c r="B4" i="12"/>
  <c r="A4" i="12"/>
  <c r="E48" i="10"/>
  <c r="D48" i="10"/>
  <c r="C48" i="10"/>
  <c r="B48" i="10"/>
  <c r="A48" i="10"/>
  <c r="E47" i="10"/>
  <c r="D47" i="10"/>
  <c r="C47" i="10"/>
  <c r="B47" i="10"/>
  <c r="A47" i="10"/>
  <c r="E46" i="10"/>
  <c r="D46" i="10"/>
  <c r="C46" i="10"/>
  <c r="B46" i="10"/>
  <c r="A46" i="10"/>
  <c r="E45" i="10"/>
  <c r="D45" i="10"/>
  <c r="C45" i="10"/>
  <c r="B45" i="10"/>
  <c r="A45" i="10"/>
  <c r="E44" i="10"/>
  <c r="D44" i="10"/>
  <c r="C44" i="10"/>
  <c r="B44" i="10"/>
  <c r="A44" i="10"/>
  <c r="E43" i="10"/>
  <c r="D43" i="10"/>
  <c r="C43" i="10"/>
  <c r="B43" i="10"/>
  <c r="A43" i="10"/>
  <c r="E42" i="10"/>
  <c r="D42" i="10"/>
  <c r="C42" i="10"/>
  <c r="B42" i="10"/>
  <c r="A42" i="10"/>
  <c r="E41" i="10"/>
  <c r="D41" i="10"/>
  <c r="C41" i="10"/>
  <c r="B41" i="10"/>
  <c r="A41" i="10"/>
  <c r="E40" i="10"/>
  <c r="D40" i="10"/>
  <c r="C40" i="10"/>
  <c r="B40" i="10"/>
  <c r="A40" i="10"/>
  <c r="E39" i="10"/>
  <c r="D39" i="10"/>
  <c r="C39" i="10"/>
  <c r="B39" i="10"/>
  <c r="A39" i="10"/>
  <c r="E38" i="10"/>
  <c r="D38" i="10"/>
  <c r="C38" i="10"/>
  <c r="B38" i="10"/>
  <c r="A38" i="10"/>
  <c r="E37" i="10"/>
  <c r="D37" i="10"/>
  <c r="C37" i="10"/>
  <c r="B37" i="10"/>
  <c r="A37" i="10"/>
  <c r="E36" i="10"/>
  <c r="D36" i="10"/>
  <c r="C36" i="10"/>
  <c r="B36" i="10"/>
  <c r="A36" i="10"/>
  <c r="E35" i="10"/>
  <c r="D35" i="10"/>
  <c r="C35" i="10"/>
  <c r="B35" i="10"/>
  <c r="A35" i="10"/>
  <c r="E34" i="10"/>
  <c r="D34" i="10"/>
  <c r="C34" i="10"/>
  <c r="B34" i="10"/>
  <c r="A34" i="10"/>
  <c r="E33" i="10"/>
  <c r="D33" i="10"/>
  <c r="C33" i="10"/>
  <c r="B33" i="10"/>
  <c r="A33" i="10"/>
  <c r="E32" i="10"/>
  <c r="D32" i="10"/>
  <c r="C32" i="10"/>
  <c r="B32" i="10"/>
  <c r="A32" i="10"/>
  <c r="E31" i="10"/>
  <c r="D31" i="10"/>
  <c r="C31" i="10"/>
  <c r="B31" i="10"/>
  <c r="A31" i="10"/>
  <c r="E30" i="10"/>
  <c r="D30" i="10"/>
  <c r="C30" i="10"/>
  <c r="B30" i="10"/>
  <c r="A30" i="10"/>
  <c r="E29" i="10"/>
  <c r="D29" i="10"/>
  <c r="C29" i="10"/>
  <c r="B29" i="10"/>
  <c r="A29" i="10"/>
  <c r="E28" i="10"/>
  <c r="D28" i="10"/>
  <c r="C28" i="10"/>
  <c r="B28" i="10"/>
  <c r="A28" i="10"/>
  <c r="E27" i="10"/>
  <c r="D27" i="10"/>
  <c r="C27" i="10"/>
  <c r="A27" i="10"/>
  <c r="E26" i="10"/>
  <c r="D26" i="10"/>
  <c r="C26" i="10"/>
  <c r="B26" i="10"/>
  <c r="A26" i="10"/>
  <c r="E25" i="10"/>
  <c r="D25" i="10"/>
  <c r="C25" i="10"/>
  <c r="B25" i="10"/>
  <c r="A25" i="10"/>
  <c r="E24" i="10"/>
  <c r="D24" i="10"/>
  <c r="C24" i="10"/>
  <c r="B24" i="10"/>
  <c r="A24" i="10"/>
  <c r="E23" i="10"/>
  <c r="D23" i="10"/>
  <c r="C23" i="10"/>
  <c r="B23" i="10"/>
  <c r="A23" i="10"/>
  <c r="E22" i="10"/>
  <c r="D22" i="10"/>
  <c r="C22" i="10"/>
  <c r="B22" i="10"/>
  <c r="A22" i="10"/>
  <c r="E21" i="10"/>
  <c r="D21" i="10"/>
  <c r="C21" i="10"/>
  <c r="B21" i="10"/>
  <c r="A21" i="10"/>
  <c r="E20" i="10"/>
  <c r="D20" i="10"/>
  <c r="C20" i="10"/>
  <c r="A20" i="10"/>
  <c r="E19" i="10"/>
  <c r="D19" i="10"/>
  <c r="C19" i="10"/>
  <c r="B19" i="10"/>
  <c r="A19" i="10"/>
  <c r="E18" i="10"/>
  <c r="D18" i="10"/>
  <c r="C18" i="10"/>
  <c r="B18" i="10"/>
  <c r="A18" i="10"/>
  <c r="E17" i="10"/>
  <c r="D17" i="10"/>
  <c r="C17" i="10"/>
  <c r="B17" i="10"/>
  <c r="A17" i="10"/>
  <c r="E16" i="10"/>
  <c r="D16" i="10"/>
  <c r="C16" i="10"/>
  <c r="B16" i="10"/>
  <c r="A16" i="10"/>
  <c r="E15" i="10"/>
  <c r="D15" i="10"/>
  <c r="C15" i="10"/>
  <c r="B15" i="10"/>
  <c r="A15" i="10"/>
  <c r="E14" i="10"/>
  <c r="D14" i="10"/>
  <c r="C14" i="10"/>
  <c r="B14" i="10"/>
  <c r="A14" i="10"/>
  <c r="E13" i="10"/>
  <c r="D13" i="10"/>
  <c r="C13" i="10"/>
  <c r="B13" i="10"/>
  <c r="A13" i="10"/>
  <c r="E12" i="10"/>
  <c r="D12" i="10"/>
  <c r="C12" i="10"/>
  <c r="B12" i="10"/>
  <c r="A12" i="10"/>
  <c r="E11" i="10"/>
  <c r="D11" i="10"/>
  <c r="C11" i="10"/>
  <c r="B11" i="10"/>
  <c r="A11" i="10"/>
  <c r="E10" i="10"/>
  <c r="D10" i="10"/>
  <c r="C10" i="10"/>
  <c r="B10" i="10"/>
  <c r="A10" i="10"/>
  <c r="E9" i="10"/>
  <c r="D9" i="10"/>
  <c r="C9" i="10"/>
  <c r="B9" i="10"/>
  <c r="A9" i="10"/>
  <c r="E8" i="10"/>
  <c r="D8" i="10"/>
  <c r="C8" i="10"/>
  <c r="B8" i="10"/>
  <c r="A8" i="10"/>
  <c r="E7" i="10"/>
  <c r="D7" i="10"/>
  <c r="C7" i="10"/>
  <c r="B7" i="10"/>
  <c r="A7" i="10"/>
  <c r="E6" i="10"/>
  <c r="D6" i="10"/>
  <c r="C6" i="10"/>
  <c r="A6" i="10"/>
  <c r="E5" i="10"/>
  <c r="D5" i="10"/>
  <c r="C5" i="10"/>
  <c r="B5" i="10"/>
  <c r="A5" i="10"/>
  <c r="E74" i="8"/>
  <c r="D74" i="8"/>
  <c r="C74" i="8"/>
  <c r="B74" i="8"/>
  <c r="A74" i="8"/>
  <c r="E73" i="8"/>
  <c r="D73" i="8"/>
  <c r="C73" i="8"/>
  <c r="B73" i="8"/>
  <c r="A73" i="8"/>
  <c r="E72" i="8"/>
  <c r="D72" i="8"/>
  <c r="C72" i="8"/>
  <c r="B72" i="8"/>
  <c r="A72" i="8"/>
  <c r="E71" i="8"/>
  <c r="D71" i="8"/>
  <c r="C71" i="8"/>
  <c r="B71" i="8"/>
  <c r="A71" i="8"/>
  <c r="E70" i="8"/>
  <c r="D70" i="8"/>
  <c r="C70" i="8"/>
  <c r="B70" i="8"/>
  <c r="A70" i="8"/>
  <c r="E69" i="8"/>
  <c r="D69" i="8"/>
  <c r="C69" i="8"/>
  <c r="B69" i="8"/>
  <c r="A69" i="8"/>
  <c r="E68" i="8"/>
  <c r="D68" i="8"/>
  <c r="C68" i="8"/>
  <c r="B68" i="8"/>
  <c r="A68" i="8"/>
  <c r="E67" i="8"/>
  <c r="D67" i="8"/>
  <c r="C67" i="8"/>
  <c r="B67" i="8"/>
  <c r="A67" i="8"/>
  <c r="E66" i="8"/>
  <c r="D66" i="8"/>
  <c r="C66" i="8"/>
  <c r="B66" i="8"/>
  <c r="A66" i="8"/>
  <c r="E65" i="8"/>
  <c r="D65" i="8"/>
  <c r="C65" i="8"/>
  <c r="B65" i="8"/>
  <c r="A65" i="8"/>
  <c r="E64" i="8"/>
  <c r="D64" i="8"/>
  <c r="C64" i="8"/>
  <c r="B64" i="8"/>
  <c r="A64" i="8"/>
  <c r="E63" i="8"/>
  <c r="D63" i="8"/>
  <c r="C63" i="8"/>
  <c r="B63" i="8"/>
  <c r="A63" i="8"/>
  <c r="E62" i="8"/>
  <c r="D62" i="8"/>
  <c r="C62" i="8"/>
  <c r="B62" i="8"/>
  <c r="A62" i="8"/>
  <c r="E61" i="8"/>
  <c r="D61" i="8"/>
  <c r="C61" i="8"/>
  <c r="B61" i="8"/>
  <c r="A61" i="8"/>
  <c r="E60" i="8"/>
  <c r="D60" i="8"/>
  <c r="C60" i="8"/>
  <c r="B60" i="8"/>
  <c r="A60" i="8"/>
  <c r="E59" i="8"/>
  <c r="D59" i="8"/>
  <c r="C59" i="8"/>
  <c r="B59" i="8"/>
  <c r="A59" i="8"/>
  <c r="E58" i="8"/>
  <c r="D58" i="8"/>
  <c r="C58" i="8"/>
  <c r="B58" i="8"/>
  <c r="A58" i="8"/>
  <c r="E57" i="8"/>
  <c r="D57" i="8"/>
  <c r="C57" i="8"/>
  <c r="B57" i="8"/>
  <c r="A57" i="8"/>
  <c r="E56" i="8"/>
  <c r="D56" i="8"/>
  <c r="C56" i="8"/>
  <c r="B56" i="8"/>
  <c r="A56" i="8"/>
  <c r="E55" i="8"/>
  <c r="D55" i="8"/>
  <c r="C55" i="8"/>
  <c r="A55" i="8"/>
  <c r="E54" i="8"/>
  <c r="D54" i="8"/>
  <c r="C54" i="8"/>
  <c r="B54" i="8"/>
  <c r="A54" i="8"/>
  <c r="E53" i="8"/>
  <c r="D53" i="8"/>
  <c r="C53" i="8"/>
  <c r="B53" i="8"/>
  <c r="A53" i="8"/>
  <c r="E52" i="8"/>
  <c r="D52" i="8"/>
  <c r="C52" i="8"/>
  <c r="B52" i="8"/>
  <c r="A52" i="8"/>
  <c r="E51" i="8"/>
  <c r="D51" i="8"/>
  <c r="C51" i="8"/>
  <c r="B51" i="8"/>
  <c r="A51" i="8"/>
  <c r="E50" i="8"/>
  <c r="D50" i="8"/>
  <c r="C50" i="8"/>
  <c r="B50" i="8"/>
  <c r="A50" i="8"/>
  <c r="E49" i="8"/>
  <c r="D49" i="8"/>
  <c r="C49" i="8"/>
  <c r="B49" i="8"/>
  <c r="A49" i="8"/>
  <c r="E48" i="8"/>
  <c r="D48" i="8"/>
  <c r="C48" i="8"/>
  <c r="B48" i="8"/>
  <c r="A48" i="8"/>
  <c r="E47" i="8"/>
  <c r="D47" i="8"/>
  <c r="C47" i="8"/>
  <c r="B47" i="8"/>
  <c r="A47" i="8"/>
  <c r="E46" i="8"/>
  <c r="D46" i="8"/>
  <c r="C46" i="8"/>
  <c r="B46" i="8"/>
  <c r="A46" i="8"/>
  <c r="E45" i="8"/>
  <c r="D45" i="8"/>
  <c r="C45" i="8"/>
  <c r="A45" i="8"/>
  <c r="E44" i="8"/>
  <c r="D44" i="8"/>
  <c r="C44" i="8"/>
  <c r="B44" i="8"/>
  <c r="A44" i="8"/>
  <c r="E43" i="8"/>
  <c r="D43" i="8"/>
  <c r="C43" i="8"/>
  <c r="B43" i="8"/>
  <c r="A43" i="8"/>
  <c r="E42" i="8"/>
  <c r="D42" i="8"/>
  <c r="C42" i="8"/>
  <c r="B42" i="8"/>
  <c r="A42" i="8"/>
  <c r="E41" i="8"/>
  <c r="D41" i="8"/>
  <c r="C41" i="8"/>
  <c r="B41" i="8"/>
  <c r="A41" i="8"/>
  <c r="E40" i="8"/>
  <c r="D40" i="8"/>
  <c r="C40" i="8"/>
  <c r="B40" i="8"/>
  <c r="A40" i="8"/>
  <c r="E39" i="8"/>
  <c r="D39" i="8"/>
  <c r="C39" i="8"/>
  <c r="A39" i="8"/>
  <c r="E38" i="8"/>
  <c r="D38" i="8"/>
  <c r="C38" i="8"/>
  <c r="B38" i="8"/>
  <c r="A38" i="8"/>
  <c r="E37" i="8"/>
  <c r="D37" i="8"/>
  <c r="C37" i="8"/>
  <c r="B37" i="8"/>
  <c r="A37" i="8"/>
  <c r="E36" i="8"/>
  <c r="D36" i="8"/>
  <c r="C36" i="8"/>
  <c r="B36" i="8"/>
  <c r="A36" i="8"/>
  <c r="E35" i="8"/>
  <c r="D35" i="8"/>
  <c r="C35" i="8"/>
  <c r="B35" i="8"/>
  <c r="A35" i="8"/>
  <c r="E34" i="8"/>
  <c r="D34" i="8"/>
  <c r="C34" i="8"/>
  <c r="B34" i="8"/>
  <c r="A34" i="8"/>
  <c r="E33" i="8"/>
  <c r="D33" i="8"/>
  <c r="C33" i="8"/>
  <c r="B33" i="8"/>
  <c r="A33" i="8"/>
  <c r="E32" i="8"/>
  <c r="D32" i="8"/>
  <c r="C32" i="8"/>
  <c r="B32" i="8"/>
  <c r="A32" i="8"/>
  <c r="E31" i="8"/>
  <c r="D31" i="8"/>
  <c r="C31" i="8"/>
  <c r="B31" i="8"/>
  <c r="A31" i="8"/>
  <c r="E30" i="8"/>
  <c r="D30" i="8"/>
  <c r="C30" i="8"/>
  <c r="B30" i="8"/>
  <c r="A30" i="8"/>
  <c r="E29" i="8"/>
  <c r="D29" i="8"/>
  <c r="C29" i="8"/>
  <c r="B29" i="8"/>
  <c r="A29" i="8"/>
  <c r="E28" i="8"/>
  <c r="D28" i="8"/>
  <c r="C28" i="8"/>
  <c r="B28" i="8"/>
  <c r="A28" i="8"/>
  <c r="E27" i="8"/>
  <c r="D27" i="8"/>
  <c r="C27" i="8"/>
  <c r="B27" i="8"/>
  <c r="A27" i="8"/>
  <c r="E26" i="8"/>
  <c r="D26" i="8"/>
  <c r="C26" i="8"/>
  <c r="B26" i="8"/>
  <c r="A26" i="8"/>
  <c r="E25" i="8"/>
  <c r="D25" i="8"/>
  <c r="C25" i="8"/>
  <c r="B25" i="8"/>
  <c r="A25" i="8"/>
  <c r="E24" i="8"/>
  <c r="D24" i="8"/>
  <c r="C24" i="8"/>
  <c r="B24" i="8"/>
  <c r="A24" i="8"/>
  <c r="E23" i="8"/>
  <c r="D23" i="8"/>
  <c r="C23" i="8"/>
  <c r="B23" i="8"/>
  <c r="A23" i="8"/>
  <c r="E22" i="8"/>
  <c r="D22" i="8"/>
  <c r="C22" i="8"/>
  <c r="A22" i="8"/>
  <c r="E21" i="8"/>
  <c r="D21" i="8"/>
  <c r="C21" i="8"/>
  <c r="B21" i="8"/>
  <c r="A21" i="8"/>
  <c r="E20" i="8"/>
  <c r="D20" i="8"/>
  <c r="C20" i="8"/>
  <c r="B20" i="8"/>
  <c r="A20" i="8"/>
  <c r="E19" i="8"/>
  <c r="D19" i="8"/>
  <c r="C19" i="8"/>
  <c r="B19" i="8"/>
  <c r="A19" i="8"/>
  <c r="E18" i="8"/>
  <c r="D18" i="8"/>
  <c r="C18" i="8"/>
  <c r="B18" i="8"/>
  <c r="A18" i="8"/>
  <c r="E17" i="8"/>
  <c r="D17" i="8"/>
  <c r="C17" i="8"/>
  <c r="B17" i="8"/>
  <c r="A17" i="8"/>
  <c r="E16" i="8"/>
  <c r="D16" i="8"/>
  <c r="C16" i="8"/>
  <c r="B16" i="8"/>
  <c r="A16" i="8"/>
  <c r="E15" i="8"/>
  <c r="D15" i="8"/>
  <c r="C15" i="8"/>
  <c r="B15" i="8"/>
  <c r="A15" i="8"/>
  <c r="E14" i="8"/>
  <c r="D14" i="8"/>
  <c r="C14" i="8"/>
  <c r="B14" i="8"/>
  <c r="A14" i="8"/>
  <c r="E13" i="8"/>
  <c r="D13" i="8"/>
  <c r="C13" i="8"/>
  <c r="B13" i="8"/>
  <c r="A13" i="8"/>
  <c r="E12" i="8"/>
  <c r="D12" i="8"/>
  <c r="C12" i="8"/>
  <c r="B12" i="8"/>
  <c r="A12" i="8"/>
  <c r="E11" i="8"/>
  <c r="D11" i="8"/>
  <c r="C11" i="8"/>
  <c r="B11" i="8"/>
  <c r="A11" i="8"/>
  <c r="E10" i="8"/>
  <c r="D10" i="8"/>
  <c r="C10" i="8"/>
  <c r="B10" i="8"/>
  <c r="A10" i="8"/>
  <c r="E9" i="8"/>
  <c r="D9" i="8"/>
  <c r="C9" i="8"/>
  <c r="B9" i="8"/>
  <c r="A9" i="8"/>
  <c r="E8" i="8"/>
  <c r="D8" i="8"/>
  <c r="C8" i="8"/>
  <c r="B8" i="8"/>
  <c r="A8" i="8"/>
  <c r="E7" i="8"/>
  <c r="D7" i="8"/>
  <c r="C7" i="8"/>
  <c r="B7" i="8"/>
  <c r="A7" i="8"/>
  <c r="E6" i="8"/>
  <c r="D6" i="8"/>
  <c r="C6" i="8"/>
  <c r="B6" i="8"/>
  <c r="A6" i="8"/>
  <c r="E5" i="8"/>
  <c r="D5" i="8"/>
  <c r="C5" i="8"/>
  <c r="B5" i="8"/>
  <c r="A5" i="8"/>
  <c r="E48" i="6"/>
  <c r="D48" i="6"/>
  <c r="C48" i="6"/>
  <c r="B48" i="6"/>
  <c r="A48" i="6"/>
  <c r="E47" i="6"/>
  <c r="D47" i="6"/>
  <c r="C47" i="6"/>
  <c r="B47" i="6"/>
  <c r="A47" i="6"/>
  <c r="E46" i="6"/>
  <c r="D46" i="6"/>
  <c r="C46" i="6"/>
  <c r="B46" i="6"/>
  <c r="A46" i="6"/>
  <c r="E45" i="6"/>
  <c r="D45" i="6"/>
  <c r="C45" i="6"/>
  <c r="B45" i="6"/>
  <c r="A45" i="6"/>
  <c r="E44" i="6"/>
  <c r="D44" i="6"/>
  <c r="C44" i="6"/>
  <c r="B44" i="6"/>
  <c r="A44" i="6"/>
  <c r="E43" i="6"/>
  <c r="D43" i="6"/>
  <c r="C43" i="6"/>
  <c r="B43" i="6"/>
  <c r="A43" i="6"/>
  <c r="E42" i="6"/>
  <c r="D42" i="6"/>
  <c r="C42" i="6"/>
  <c r="B42" i="6"/>
  <c r="A42" i="6"/>
  <c r="E41" i="6"/>
  <c r="D41" i="6"/>
  <c r="C41" i="6"/>
  <c r="B41" i="6"/>
  <c r="A41" i="6"/>
  <c r="E40" i="6"/>
  <c r="D40" i="6"/>
  <c r="C40" i="6"/>
  <c r="B40" i="6"/>
  <c r="A40" i="6"/>
  <c r="E39" i="6"/>
  <c r="D39" i="6"/>
  <c r="C39" i="6"/>
  <c r="B39" i="6"/>
  <c r="A39" i="6"/>
  <c r="E38" i="6"/>
  <c r="D38" i="6"/>
  <c r="C38" i="6"/>
  <c r="B38" i="6"/>
  <c r="A38" i="6"/>
  <c r="E37" i="6"/>
  <c r="D37" i="6"/>
  <c r="C37" i="6"/>
  <c r="B37" i="6"/>
  <c r="A37" i="6"/>
  <c r="E36" i="6"/>
  <c r="D36" i="6"/>
  <c r="C36" i="6"/>
  <c r="B36" i="6"/>
  <c r="A36" i="6"/>
  <c r="E35" i="6"/>
  <c r="D35" i="6"/>
  <c r="C35" i="6"/>
  <c r="B35" i="6"/>
  <c r="A35" i="6"/>
  <c r="E34" i="6"/>
  <c r="D34" i="6"/>
  <c r="C34" i="6"/>
  <c r="B34" i="6"/>
  <c r="A34" i="6"/>
  <c r="E33" i="6"/>
  <c r="D33" i="6"/>
  <c r="C33" i="6"/>
  <c r="B33" i="6"/>
  <c r="A33" i="6"/>
  <c r="E32" i="6"/>
  <c r="D32" i="6"/>
  <c r="C32" i="6"/>
  <c r="B32" i="6"/>
  <c r="A32" i="6"/>
  <c r="E31" i="6"/>
  <c r="D31" i="6"/>
  <c r="C31" i="6"/>
  <c r="B31" i="6"/>
  <c r="A31" i="6"/>
  <c r="E30" i="6"/>
  <c r="D30" i="6"/>
  <c r="C30" i="6"/>
  <c r="B30" i="6"/>
  <c r="A30" i="6"/>
  <c r="E29" i="6"/>
  <c r="D29" i="6"/>
  <c r="C29" i="6"/>
  <c r="B29" i="6"/>
  <c r="A29" i="6"/>
  <c r="E28" i="6"/>
  <c r="D28" i="6"/>
  <c r="C28" i="6"/>
  <c r="B28" i="6"/>
  <c r="A28" i="6"/>
  <c r="E27" i="6"/>
  <c r="D27" i="6"/>
  <c r="C27" i="6"/>
  <c r="B27" i="6"/>
  <c r="A27" i="6"/>
  <c r="E26" i="6"/>
  <c r="D26" i="6"/>
  <c r="C26" i="6"/>
  <c r="B26" i="6"/>
  <c r="A26" i="6"/>
  <c r="E25" i="6"/>
  <c r="D25" i="6"/>
  <c r="C25" i="6"/>
  <c r="B25" i="6"/>
  <c r="A25" i="6"/>
  <c r="E24" i="6"/>
  <c r="D24" i="6"/>
  <c r="C24" i="6"/>
  <c r="B24" i="6"/>
  <c r="A24" i="6"/>
  <c r="E23" i="6"/>
  <c r="D23" i="6"/>
  <c r="C23" i="6"/>
  <c r="B23" i="6"/>
  <c r="A23" i="6"/>
  <c r="E22" i="6"/>
  <c r="D22" i="6"/>
  <c r="C22" i="6"/>
  <c r="B22" i="6"/>
  <c r="A22" i="6"/>
  <c r="E21" i="6"/>
  <c r="D21" i="6"/>
  <c r="C21" i="6"/>
  <c r="B21" i="6"/>
  <c r="A21" i="6"/>
  <c r="E20" i="6"/>
  <c r="D20" i="6"/>
  <c r="C20" i="6"/>
  <c r="B20" i="6"/>
  <c r="A20" i="6"/>
  <c r="E19" i="6"/>
  <c r="D19" i="6"/>
  <c r="C19" i="6"/>
  <c r="B19" i="6"/>
  <c r="A19" i="6"/>
  <c r="E18" i="6"/>
  <c r="D18" i="6"/>
  <c r="C18" i="6"/>
  <c r="A18" i="6"/>
  <c r="E17" i="6"/>
  <c r="D17" i="6"/>
  <c r="C17" i="6"/>
  <c r="B17" i="6"/>
  <c r="A17" i="6"/>
  <c r="E16" i="6"/>
  <c r="D16" i="6"/>
  <c r="C16" i="6"/>
  <c r="B16" i="6"/>
  <c r="A16" i="6"/>
  <c r="E15" i="6"/>
  <c r="D15" i="6"/>
  <c r="C15" i="6"/>
  <c r="B15" i="6"/>
  <c r="A15" i="6"/>
  <c r="E14" i="6"/>
  <c r="D14" i="6"/>
  <c r="C14" i="6"/>
  <c r="B14" i="6"/>
  <c r="A14" i="6"/>
  <c r="E13" i="6"/>
  <c r="D13" i="6"/>
  <c r="C13" i="6"/>
  <c r="B13" i="6"/>
  <c r="A13" i="6"/>
  <c r="E12" i="6"/>
  <c r="D12" i="6"/>
  <c r="C12" i="6"/>
  <c r="B12" i="6"/>
  <c r="A12" i="6"/>
  <c r="E11" i="6"/>
  <c r="D11" i="6"/>
  <c r="C11" i="6"/>
  <c r="B11" i="6"/>
  <c r="A11" i="6"/>
  <c r="E10" i="6"/>
  <c r="D10" i="6"/>
  <c r="C10" i="6"/>
  <c r="B10" i="6"/>
  <c r="A10" i="6"/>
  <c r="E9" i="6"/>
  <c r="D9" i="6"/>
  <c r="C9" i="6"/>
  <c r="B9" i="6"/>
  <c r="A9" i="6"/>
  <c r="E8" i="6"/>
  <c r="D8" i="6"/>
  <c r="C8" i="6"/>
  <c r="B8" i="6"/>
  <c r="A8" i="6"/>
  <c r="E7" i="6"/>
  <c r="D7" i="6"/>
  <c r="C7" i="6"/>
  <c r="B7" i="6"/>
  <c r="A7" i="6"/>
  <c r="E6" i="6"/>
  <c r="D6" i="6"/>
  <c r="C6" i="6"/>
  <c r="B6" i="6"/>
  <c r="A6" i="6"/>
  <c r="E5" i="6"/>
  <c r="D5" i="6"/>
  <c r="C5" i="6"/>
  <c r="B5" i="6"/>
  <c r="A5" i="6"/>
  <c r="E4" i="6"/>
  <c r="D4" i="6"/>
  <c r="C4" i="6"/>
  <c r="A4" i="6"/>
  <c r="E3" i="6"/>
  <c r="D3" i="6"/>
  <c r="C3" i="6"/>
  <c r="B3" i="6"/>
  <c r="A3" i="6"/>
  <c r="E137" i="4"/>
  <c r="D137" i="4"/>
  <c r="C137" i="4"/>
  <c r="B137" i="4"/>
  <c r="A137" i="4"/>
  <c r="E136" i="4"/>
  <c r="D136" i="4"/>
  <c r="C136" i="4"/>
  <c r="B136" i="4"/>
  <c r="A136" i="4"/>
  <c r="E135" i="4"/>
  <c r="D135" i="4"/>
  <c r="C135" i="4"/>
  <c r="B135" i="4"/>
  <c r="A135" i="4"/>
  <c r="E134" i="4"/>
  <c r="D134" i="4"/>
  <c r="C134" i="4"/>
  <c r="B134" i="4"/>
  <c r="A134" i="4"/>
  <c r="E133" i="4"/>
  <c r="D133" i="4"/>
  <c r="C133" i="4"/>
  <c r="B133" i="4"/>
  <c r="A133" i="4"/>
  <c r="E132" i="4"/>
  <c r="D132" i="4"/>
  <c r="C132" i="4"/>
  <c r="B132" i="4"/>
  <c r="A132" i="4"/>
  <c r="E131" i="4"/>
  <c r="D131" i="4"/>
  <c r="C131" i="4"/>
  <c r="B131" i="4"/>
  <c r="A131" i="4"/>
  <c r="E130" i="4"/>
  <c r="D130" i="4"/>
  <c r="C130" i="4"/>
  <c r="B130" i="4"/>
  <c r="A130" i="4"/>
  <c r="E129" i="4"/>
  <c r="D129" i="4"/>
  <c r="C129" i="4"/>
  <c r="B129" i="4"/>
  <c r="A129" i="4"/>
  <c r="E128" i="4"/>
  <c r="D128" i="4"/>
  <c r="C128" i="4"/>
  <c r="B128" i="4"/>
  <c r="A128" i="4"/>
  <c r="E127" i="4"/>
  <c r="D127" i="4"/>
  <c r="C127" i="4"/>
  <c r="B127" i="4"/>
  <c r="A127" i="4"/>
  <c r="E126" i="4"/>
  <c r="D126" i="4"/>
  <c r="C126" i="4"/>
  <c r="B126" i="4"/>
  <c r="A126" i="4"/>
  <c r="E125" i="4"/>
  <c r="D125" i="4"/>
  <c r="C125" i="4"/>
  <c r="B125" i="4"/>
  <c r="A125" i="4"/>
  <c r="E124" i="4"/>
  <c r="D124" i="4"/>
  <c r="C124" i="4"/>
  <c r="B124" i="4"/>
  <c r="A124" i="4"/>
  <c r="E123" i="4"/>
  <c r="D123" i="4"/>
  <c r="C123" i="4"/>
  <c r="B123" i="4"/>
  <c r="A123" i="4"/>
  <c r="E122" i="4"/>
  <c r="D122" i="4"/>
  <c r="C122" i="4"/>
  <c r="B122" i="4"/>
  <c r="A122" i="4"/>
  <c r="E121" i="4"/>
  <c r="D121" i="4"/>
  <c r="C121" i="4"/>
  <c r="B121" i="4"/>
  <c r="A121" i="4"/>
  <c r="E120" i="4"/>
  <c r="D120" i="4"/>
  <c r="C120" i="4"/>
  <c r="B120" i="4"/>
  <c r="A120" i="4"/>
  <c r="E119" i="4"/>
  <c r="D119" i="4"/>
  <c r="C119" i="4"/>
  <c r="B119" i="4"/>
  <c r="A119" i="4"/>
  <c r="E118" i="4"/>
  <c r="D118" i="4"/>
  <c r="C118" i="4"/>
  <c r="B118" i="4"/>
  <c r="A118" i="4"/>
  <c r="E117" i="4"/>
  <c r="D117" i="4"/>
  <c r="C117" i="4"/>
  <c r="B117" i="4"/>
  <c r="A117" i="4"/>
  <c r="E116" i="4"/>
  <c r="D116" i="4"/>
  <c r="C116" i="4"/>
  <c r="A116" i="4"/>
  <c r="E115" i="4"/>
  <c r="D115" i="4"/>
  <c r="C115" i="4"/>
  <c r="B115" i="4"/>
  <c r="A115" i="4"/>
  <c r="E114" i="4"/>
  <c r="D114" i="4"/>
  <c r="C114" i="4"/>
  <c r="B114" i="4"/>
  <c r="A114" i="4"/>
  <c r="E113" i="4"/>
  <c r="D113" i="4"/>
  <c r="C113" i="4"/>
  <c r="B113" i="4"/>
  <c r="A113" i="4"/>
  <c r="E112" i="4"/>
  <c r="D112" i="4"/>
  <c r="C112" i="4"/>
  <c r="B112" i="4"/>
  <c r="A112" i="4"/>
  <c r="E111" i="4"/>
  <c r="D111" i="4"/>
  <c r="C111" i="4"/>
  <c r="B111" i="4"/>
  <c r="A111" i="4"/>
  <c r="E110" i="4"/>
  <c r="D110" i="4"/>
  <c r="C110" i="4"/>
  <c r="B110" i="4"/>
  <c r="A110" i="4"/>
  <c r="E109" i="4"/>
  <c r="D109" i="4"/>
  <c r="C109" i="4"/>
  <c r="B109" i="4"/>
  <c r="A109" i="4"/>
  <c r="E108" i="4"/>
  <c r="D108" i="4"/>
  <c r="C108" i="4"/>
  <c r="B108" i="4"/>
  <c r="A108" i="4"/>
  <c r="E107" i="4"/>
  <c r="D107" i="4"/>
  <c r="C107" i="4"/>
  <c r="B107" i="4"/>
  <c r="A107" i="4"/>
  <c r="E106" i="4"/>
  <c r="D106" i="4"/>
  <c r="C106" i="4"/>
  <c r="B106" i="4"/>
  <c r="A106" i="4"/>
  <c r="E105" i="4"/>
  <c r="D105" i="4"/>
  <c r="C105" i="4"/>
  <c r="B105" i="4"/>
  <c r="A105" i="4"/>
  <c r="E104" i="4"/>
  <c r="D104" i="4"/>
  <c r="C104" i="4"/>
  <c r="B104" i="4"/>
  <c r="A104" i="4"/>
  <c r="E103" i="4"/>
  <c r="D103" i="4"/>
  <c r="C103" i="4"/>
  <c r="B103" i="4"/>
  <c r="A103" i="4"/>
  <c r="E102" i="4"/>
  <c r="D102" i="4"/>
  <c r="C102" i="4"/>
  <c r="B102" i="4"/>
  <c r="A102" i="4"/>
  <c r="E101" i="4"/>
  <c r="D101" i="4"/>
  <c r="C101" i="4"/>
  <c r="B101" i="4"/>
  <c r="A101" i="4"/>
  <c r="E100" i="4"/>
  <c r="D100" i="4"/>
  <c r="C100" i="4"/>
  <c r="B100" i="4"/>
  <c r="A100" i="4"/>
  <c r="E99" i="4"/>
  <c r="D99" i="4"/>
  <c r="C99" i="4"/>
  <c r="B99" i="4"/>
  <c r="A99" i="4"/>
  <c r="E98" i="4"/>
  <c r="D98" i="4"/>
  <c r="C98" i="4"/>
  <c r="B98" i="4"/>
  <c r="A98" i="4"/>
  <c r="E97" i="4"/>
  <c r="D97" i="4"/>
  <c r="C97" i="4"/>
  <c r="B97" i="4"/>
  <c r="A97" i="4"/>
  <c r="E96" i="4"/>
  <c r="D96" i="4"/>
  <c r="C96" i="4"/>
  <c r="B96" i="4"/>
  <c r="A96" i="4"/>
  <c r="E95" i="4"/>
  <c r="D95" i="4"/>
  <c r="C95" i="4"/>
  <c r="B95" i="4"/>
  <c r="A95" i="4"/>
  <c r="E94" i="4"/>
  <c r="D94" i="4"/>
  <c r="C94" i="4"/>
  <c r="B94" i="4"/>
  <c r="A94" i="4"/>
  <c r="E93" i="4"/>
  <c r="D93" i="4"/>
  <c r="C93" i="4"/>
  <c r="B93" i="4"/>
  <c r="A93" i="4"/>
  <c r="E92" i="4"/>
  <c r="D92" i="4"/>
  <c r="C92" i="4"/>
  <c r="B92" i="4"/>
  <c r="A92" i="4"/>
  <c r="E91" i="4"/>
  <c r="D91" i="4"/>
  <c r="C91" i="4"/>
  <c r="B91" i="4"/>
  <c r="A91" i="4"/>
  <c r="E90" i="4"/>
  <c r="D90" i="4"/>
  <c r="C90" i="4"/>
  <c r="B90" i="4"/>
  <c r="A90" i="4"/>
  <c r="E89" i="4"/>
  <c r="D89" i="4"/>
  <c r="C89" i="4"/>
  <c r="B89" i="4"/>
  <c r="A89" i="4"/>
  <c r="E88" i="4"/>
  <c r="D88" i="4"/>
  <c r="C88" i="4"/>
  <c r="B88" i="4"/>
  <c r="A88" i="4"/>
  <c r="E87" i="4"/>
  <c r="D87" i="4"/>
  <c r="C87" i="4"/>
  <c r="B87" i="4"/>
  <c r="A87" i="4"/>
  <c r="E86" i="4"/>
  <c r="D86" i="4"/>
  <c r="C86" i="4"/>
  <c r="B86" i="4"/>
  <c r="A86" i="4"/>
  <c r="E85" i="4"/>
  <c r="D85" i="4"/>
  <c r="C85" i="4"/>
  <c r="B85" i="4"/>
  <c r="A85" i="4"/>
  <c r="E84" i="4"/>
  <c r="D84" i="4"/>
  <c r="C84" i="4"/>
  <c r="B84" i="4"/>
  <c r="A84" i="4"/>
  <c r="E83" i="4"/>
  <c r="D83" i="4"/>
  <c r="C83" i="4"/>
  <c r="B83" i="4"/>
  <c r="A83" i="4"/>
  <c r="E82" i="4"/>
  <c r="D82" i="4"/>
  <c r="C82" i="4"/>
  <c r="B82" i="4"/>
  <c r="A82" i="4"/>
  <c r="E81" i="4"/>
  <c r="D81" i="4"/>
  <c r="C81" i="4"/>
  <c r="B81" i="4"/>
  <c r="A81" i="4"/>
  <c r="E80" i="4"/>
  <c r="D80" i="4"/>
  <c r="C80" i="4"/>
  <c r="B80" i="4"/>
  <c r="A80" i="4"/>
  <c r="E79" i="4"/>
  <c r="D79" i="4"/>
  <c r="C79" i="4"/>
  <c r="B79" i="4"/>
  <c r="A79" i="4"/>
  <c r="E78" i="4"/>
  <c r="D78" i="4"/>
  <c r="C78" i="4"/>
  <c r="B78" i="4"/>
  <c r="A78" i="4"/>
  <c r="E77" i="4"/>
  <c r="D77" i="4"/>
  <c r="C77" i="4"/>
  <c r="B77" i="4"/>
  <c r="A77" i="4"/>
  <c r="E76" i="4"/>
  <c r="D76" i="4"/>
  <c r="C76" i="4"/>
  <c r="B76" i="4"/>
  <c r="A76" i="4"/>
  <c r="E75" i="4"/>
  <c r="D75" i="4"/>
  <c r="C75" i="4"/>
  <c r="B75" i="4"/>
  <c r="A75" i="4"/>
  <c r="E74" i="4"/>
  <c r="D74" i="4"/>
  <c r="C74" i="4"/>
  <c r="B74" i="4"/>
  <c r="A74" i="4"/>
  <c r="E73" i="4"/>
  <c r="D73" i="4"/>
  <c r="C73" i="4"/>
  <c r="B73" i="4"/>
  <c r="A73" i="4"/>
  <c r="E72" i="4"/>
  <c r="D72" i="4"/>
  <c r="C72" i="4"/>
  <c r="B72" i="4"/>
  <c r="A72" i="4"/>
  <c r="E71" i="4"/>
  <c r="D71" i="4"/>
  <c r="C71" i="4"/>
  <c r="B71" i="4"/>
  <c r="A71" i="4"/>
  <c r="E70" i="4"/>
  <c r="D70" i="4"/>
  <c r="C70" i="4"/>
  <c r="B70" i="4"/>
  <c r="A70" i="4"/>
  <c r="E69" i="4"/>
  <c r="D69" i="4"/>
  <c r="C69" i="4"/>
  <c r="B69" i="4"/>
  <c r="A69" i="4"/>
  <c r="E68" i="4"/>
  <c r="D68" i="4"/>
  <c r="C68" i="4"/>
  <c r="B68" i="4"/>
  <c r="A68" i="4"/>
  <c r="E67" i="4"/>
  <c r="D67" i="4"/>
  <c r="C67" i="4"/>
  <c r="B67" i="4"/>
  <c r="A67" i="4"/>
  <c r="E66" i="4"/>
  <c r="D66" i="4"/>
  <c r="C66" i="4"/>
  <c r="B66" i="4"/>
  <c r="A66" i="4"/>
  <c r="E65" i="4"/>
  <c r="D65" i="4"/>
  <c r="C65" i="4"/>
  <c r="B65" i="4"/>
  <c r="A65" i="4"/>
  <c r="E64" i="4"/>
  <c r="D64" i="4"/>
  <c r="C64" i="4"/>
  <c r="B64" i="4"/>
  <c r="A64" i="4"/>
  <c r="E63" i="4"/>
  <c r="D63" i="4"/>
  <c r="C63" i="4"/>
  <c r="B63" i="4"/>
  <c r="A63" i="4"/>
  <c r="E62" i="4"/>
  <c r="D62" i="4"/>
  <c r="C62" i="4"/>
  <c r="B62" i="4"/>
  <c r="A62" i="4"/>
  <c r="E61" i="4"/>
  <c r="D61" i="4"/>
  <c r="C61" i="4"/>
  <c r="B61" i="4"/>
  <c r="A61" i="4"/>
  <c r="E60" i="4"/>
  <c r="D60" i="4"/>
  <c r="C60" i="4"/>
  <c r="B60" i="4"/>
  <c r="A60" i="4"/>
  <c r="E59" i="4"/>
  <c r="D59" i="4"/>
  <c r="C59" i="4"/>
  <c r="B59" i="4"/>
  <c r="A59" i="4"/>
  <c r="E58" i="4"/>
  <c r="D58" i="4"/>
  <c r="C58" i="4"/>
  <c r="B58" i="4"/>
  <c r="A58" i="4"/>
  <c r="E57" i="4"/>
  <c r="D57" i="4"/>
  <c r="C57" i="4"/>
  <c r="B57" i="4"/>
  <c r="A57" i="4"/>
  <c r="E56" i="4"/>
  <c r="D56" i="4"/>
  <c r="C56" i="4"/>
  <c r="B56" i="4"/>
  <c r="A56" i="4"/>
  <c r="E55" i="4"/>
  <c r="D55" i="4"/>
  <c r="C55" i="4"/>
  <c r="B55" i="4"/>
  <c r="A55" i="4"/>
  <c r="E54" i="4"/>
  <c r="D54" i="4"/>
  <c r="C54" i="4"/>
  <c r="B54" i="4"/>
  <c r="A54" i="4"/>
  <c r="E53" i="4"/>
  <c r="D53" i="4"/>
  <c r="C53" i="4"/>
  <c r="B53" i="4"/>
  <c r="A53" i="4"/>
  <c r="E52" i="4"/>
  <c r="D52" i="4"/>
  <c r="C52" i="4"/>
  <c r="B52" i="4"/>
  <c r="A52" i="4"/>
  <c r="E51" i="4"/>
  <c r="D51" i="4"/>
  <c r="C51" i="4"/>
  <c r="B51" i="4"/>
  <c r="A51" i="4"/>
  <c r="E50" i="4"/>
  <c r="D50" i="4"/>
  <c r="C50" i="4"/>
  <c r="B50" i="4"/>
  <c r="A50" i="4"/>
  <c r="E49" i="4"/>
  <c r="D49" i="4"/>
  <c r="C49" i="4"/>
  <c r="B49" i="4"/>
  <c r="A49" i="4"/>
  <c r="E48" i="4"/>
  <c r="D48" i="4"/>
  <c r="C48" i="4"/>
  <c r="B48" i="4"/>
  <c r="A48" i="4"/>
  <c r="E47" i="4"/>
  <c r="D47" i="4"/>
  <c r="C47" i="4"/>
  <c r="B47" i="4"/>
  <c r="A47" i="4"/>
  <c r="E46" i="4"/>
  <c r="D46" i="4"/>
  <c r="C46" i="4"/>
  <c r="B46" i="4"/>
  <c r="A46" i="4"/>
  <c r="E45" i="4"/>
  <c r="D45" i="4"/>
  <c r="C45" i="4"/>
  <c r="B45" i="4"/>
  <c r="A45" i="4"/>
  <c r="E44" i="4"/>
  <c r="D44" i="4"/>
  <c r="C44" i="4"/>
  <c r="B44" i="4"/>
  <c r="A44" i="4"/>
  <c r="E43" i="4"/>
  <c r="D43" i="4"/>
  <c r="C43" i="4"/>
  <c r="B43" i="4"/>
  <c r="A43" i="4"/>
  <c r="E42" i="4"/>
  <c r="D42" i="4"/>
  <c r="C42" i="4"/>
  <c r="B42" i="4"/>
  <c r="A42" i="4"/>
  <c r="E41" i="4"/>
  <c r="D41" i="4"/>
  <c r="C41" i="4"/>
  <c r="B41" i="4"/>
  <c r="A41" i="4"/>
  <c r="E40" i="4"/>
  <c r="D40" i="4"/>
  <c r="C40" i="4"/>
  <c r="B40" i="4"/>
  <c r="A40" i="4"/>
  <c r="E39" i="4"/>
  <c r="D39" i="4"/>
  <c r="C39" i="4"/>
  <c r="B39" i="4"/>
  <c r="A39" i="4"/>
  <c r="E38" i="4"/>
  <c r="D38" i="4"/>
  <c r="C38" i="4"/>
  <c r="B38" i="4"/>
  <c r="A38" i="4"/>
  <c r="E37" i="4"/>
  <c r="D37" i="4"/>
  <c r="C37" i="4"/>
  <c r="B37" i="4"/>
  <c r="A37" i="4"/>
  <c r="E36" i="4"/>
  <c r="D36" i="4"/>
  <c r="C36" i="4"/>
  <c r="B36" i="4"/>
  <c r="A36" i="4"/>
  <c r="E35" i="4"/>
  <c r="D35" i="4"/>
  <c r="C35" i="4"/>
  <c r="B35" i="4"/>
  <c r="A35" i="4"/>
  <c r="E34" i="4"/>
  <c r="D34" i="4"/>
  <c r="C34" i="4"/>
  <c r="B34" i="4"/>
  <c r="A34" i="4"/>
  <c r="E33" i="4"/>
  <c r="D33" i="4"/>
  <c r="C33" i="4"/>
  <c r="B33" i="4"/>
  <c r="A33" i="4"/>
  <c r="E32" i="4"/>
  <c r="D32" i="4"/>
  <c r="C32" i="4"/>
  <c r="B32" i="4"/>
  <c r="A32" i="4"/>
  <c r="E31" i="4"/>
  <c r="D31" i="4"/>
  <c r="C31" i="4"/>
  <c r="B31" i="4"/>
  <c r="A31" i="4"/>
  <c r="E30" i="4"/>
  <c r="D30" i="4"/>
  <c r="C30" i="4"/>
  <c r="B30" i="4"/>
  <c r="A30" i="4"/>
  <c r="E29" i="4"/>
  <c r="D29" i="4"/>
  <c r="C29" i="4"/>
  <c r="B29" i="4"/>
  <c r="A29" i="4"/>
  <c r="E28" i="4"/>
  <c r="D28" i="4"/>
  <c r="C28" i="4"/>
  <c r="B28" i="4"/>
  <c r="A28" i="4"/>
  <c r="E27" i="4"/>
  <c r="D27" i="4"/>
  <c r="C27" i="4"/>
  <c r="B27" i="4"/>
  <c r="A27" i="4"/>
  <c r="E26" i="4"/>
  <c r="D26" i="4"/>
  <c r="C26" i="4"/>
  <c r="B26" i="4"/>
  <c r="A26" i="4"/>
  <c r="E25" i="4"/>
  <c r="D25" i="4"/>
  <c r="C25" i="4"/>
  <c r="B25" i="4"/>
  <c r="A25" i="4"/>
  <c r="E24" i="4"/>
  <c r="D24" i="4"/>
  <c r="C24" i="4"/>
  <c r="B24" i="4"/>
  <c r="A24" i="4"/>
  <c r="E23" i="4"/>
  <c r="D23" i="4"/>
  <c r="C23" i="4"/>
  <c r="B23" i="4"/>
  <c r="A23" i="4"/>
  <c r="E22" i="4"/>
  <c r="D22" i="4"/>
  <c r="C22" i="4"/>
  <c r="B22" i="4"/>
  <c r="A22" i="4"/>
  <c r="E21" i="4"/>
  <c r="D21" i="4"/>
  <c r="C21" i="4"/>
  <c r="B21" i="4"/>
  <c r="A21" i="4"/>
  <c r="E20" i="4"/>
  <c r="D20" i="4"/>
  <c r="C20" i="4"/>
  <c r="B20" i="4"/>
  <c r="A20" i="4"/>
  <c r="E19" i="4"/>
  <c r="D19" i="4"/>
  <c r="C19" i="4"/>
  <c r="B19" i="4"/>
  <c r="A19" i="4"/>
  <c r="E18" i="4"/>
  <c r="D18" i="4"/>
  <c r="C18" i="4"/>
  <c r="B18" i="4"/>
  <c r="A18" i="4"/>
  <c r="E17" i="4"/>
  <c r="D17" i="4"/>
  <c r="C17" i="4"/>
  <c r="B17" i="4"/>
  <c r="A17" i="4"/>
  <c r="E16" i="4"/>
  <c r="D16" i="4"/>
  <c r="C16" i="4"/>
  <c r="B16" i="4"/>
  <c r="A16" i="4"/>
  <c r="E15" i="4"/>
  <c r="D15" i="4"/>
  <c r="C15" i="4"/>
  <c r="B15" i="4"/>
  <c r="A15" i="4"/>
  <c r="E14" i="4"/>
  <c r="D14" i="4"/>
  <c r="C14" i="4"/>
  <c r="B14" i="4"/>
  <c r="A14" i="4"/>
  <c r="E13" i="4"/>
  <c r="D13" i="4"/>
  <c r="C13" i="4"/>
  <c r="B13" i="4"/>
  <c r="A13" i="4"/>
  <c r="E12" i="4"/>
  <c r="D12" i="4"/>
  <c r="C12" i="4"/>
  <c r="B12" i="4"/>
  <c r="A12" i="4"/>
  <c r="E11" i="4"/>
  <c r="D11" i="4"/>
  <c r="C11" i="4"/>
  <c r="B11" i="4"/>
  <c r="A11" i="4"/>
  <c r="E10" i="4"/>
  <c r="D10" i="4"/>
  <c r="C10" i="4"/>
  <c r="B10" i="4"/>
  <c r="A10" i="4"/>
  <c r="E9" i="4"/>
  <c r="D9" i="4"/>
  <c r="C9" i="4"/>
  <c r="B9" i="4"/>
  <c r="A9" i="4"/>
  <c r="E8" i="4"/>
  <c r="D8" i="4"/>
  <c r="C8" i="4"/>
  <c r="B8" i="4"/>
  <c r="A8" i="4"/>
  <c r="E7" i="4"/>
  <c r="D7" i="4"/>
  <c r="C7" i="4"/>
  <c r="B7" i="4"/>
  <c r="A7" i="4"/>
  <c r="E6" i="4"/>
  <c r="D6" i="4"/>
  <c r="C6" i="4"/>
  <c r="A6" i="4"/>
  <c r="E5" i="4"/>
  <c r="D5" i="4"/>
  <c r="C5" i="4"/>
  <c r="B5" i="4"/>
  <c r="A5" i="4"/>
</calcChain>
</file>

<file path=xl/sharedStrings.xml><?xml version="1.0" encoding="utf-8"?>
<sst xmlns="http://schemas.openxmlformats.org/spreadsheetml/2006/main" count="1425" uniqueCount="766">
  <si>
    <t>STT</t>
  </si>
  <si>
    <t>Ghi chú</t>
  </si>
  <si>
    <t>Kính gửi: Ủy ban Chứng khoán Nhà nước</t>
  </si>
  <si>
    <t>Mã sheet</t>
  </si>
  <si>
    <t>Nội dung</t>
  </si>
  <si>
    <t/>
  </si>
  <si>
    <t>BÁO CÁO TÀI CHÍNH  RIÊNG LẺ</t>
  </si>
  <si>
    <t>Thông tư số 334/2016/TT-BTC ngày 27/12/2016 của Bộ Tài chính</t>
  </si>
  <si>
    <t>BÁO CÁO TÌNH HÌNH TÀI CHÍNH RIÊNG</t>
  </si>
  <si>
    <t>BCTCR_06608</t>
  </si>
  <si>
    <t xml:space="preserve">CÁC CHỈ TIÊU NGOÀI BÁO CÁO TÌNH HÌNH TÀI CHÍNH RIÊNG				</t>
  </si>
  <si>
    <t>CCTTCR_06609</t>
  </si>
  <si>
    <t>BÁO CÁO KẾT QUẢ HOẠT ĐỘNG RIÊNG</t>
  </si>
  <si>
    <t>BCKQHDR_06610</t>
  </si>
  <si>
    <t xml:space="preserve">BÁO CÁO LƯU CHUYỂN TIỀN TỆ RIÊNG			</t>
  </si>
  <si>
    <t>BCLCTTRTT_06611</t>
  </si>
  <si>
    <t xml:space="preserve">PHẦN LƯU CHUYỂN TIỀN TỆ HOẠT ĐỘNG MÔI GIỚI, ỦY THÁC CỦA KHÁCH HÀNG				</t>
  </si>
  <si>
    <t>PLCTTHDMGUTCKHTT_06612</t>
  </si>
  <si>
    <t xml:space="preserve">BÁO CÁO LƯU CHUYỂN TIỀN TỆ RIÊNG		</t>
  </si>
  <si>
    <t>BCLCTTRGT_06613</t>
  </si>
  <si>
    <t xml:space="preserve">PHẦN LƯU CHUYỂN TIỀN TỆ HOẠT ĐỘNG MÔI GIỚI, ỦY THÁC CỦA KHÁCH HÀNG		</t>
  </si>
  <si>
    <t>PLCTTHDMGUTCKHGT_06614</t>
  </si>
  <si>
    <t xml:space="preserve">BÁO CÁO TÌNH HÌNH BIẾN ĐỘNG VỐN CHỦ SỞ HỮU									</t>
  </si>
  <si>
    <t>BCTHBDVCSH_06615</t>
  </si>
  <si>
    <t>Không đổi tên sheet
Những chỉ tiêu không có số liệu có thể không phải trình bày nhưng không được đánh lại “Mã chỉ tiêu”.
Không được xóa cột trên sheet</t>
  </si>
  <si>
    <t>Lập, ngày … tháng … năm …</t>
  </si>
  <si>
    <t>Người lập biểu</t>
  </si>
  <si>
    <t>Kế toán trưởng</t>
  </si>
  <si>
    <t>Giám đốc</t>
  </si>
  <si>
    <t>(Ký, họ tên)</t>
  </si>
  <si>
    <t>(Ký, họ tên, đóng dấu)</t>
  </si>
  <si>
    <t>Chỉ tiêu</t>
  </si>
  <si>
    <t>Mã số</t>
  </si>
  <si>
    <t>Thuyết minh</t>
  </si>
  <si>
    <t>Số cuối năm</t>
  </si>
  <si>
    <t>Số đầu năm</t>
  </si>
  <si>
    <t xml:space="preserve"> Đơn vị tính: Đồng Việt Nam</t>
  </si>
  <si>
    <t xml:space="preserve">226a
</t>
  </si>
  <si>
    <t xml:space="preserve">228
</t>
  </si>
  <si>
    <t xml:space="preserve">
</t>
  </si>
  <si>
    <t>A</t>
  </si>
  <si>
    <t xml:space="preserve">7.2. Phải thu và dự thu cổ tức, tiền lãi các tài sản tài chính
</t>
  </si>
  <si>
    <t>8. Trả trước cho người bán</t>
  </si>
  <si>
    <t>13. Dự phòng suy giảm giá trị các khoản phải thu (*)</t>
  </si>
  <si>
    <t>II. Tài sản ngắn hạn khác</t>
  </si>
  <si>
    <t>2. Vay tài sản tài chính ngắn hạn</t>
  </si>
  <si>
    <t xml:space="preserve">229b
</t>
  </si>
  <si>
    <t xml:space="preserve">230
</t>
  </si>
  <si>
    <t xml:space="preserve">232a
</t>
  </si>
  <si>
    <t xml:space="preserve">251
</t>
  </si>
  <si>
    <t xml:space="preserve">253
</t>
  </si>
  <si>
    <t xml:space="preserve">254
</t>
  </si>
  <si>
    <t xml:space="preserve">260
</t>
  </si>
  <si>
    <t xml:space="preserve">310
</t>
  </si>
  <si>
    <t xml:space="preserve">312
</t>
  </si>
  <si>
    <t xml:space="preserve">318
</t>
  </si>
  <si>
    <t xml:space="preserve">319
</t>
  </si>
  <si>
    <t xml:space="preserve">320
</t>
  </si>
  <si>
    <t xml:space="preserve">322
</t>
  </si>
  <si>
    <t xml:space="preserve">323
</t>
  </si>
  <si>
    <t>3. Trái phiếu chuyển đổi ngắn hạn - Cấu phần nợ</t>
  </si>
  <si>
    <t>4. Trái phiếu phát hành ngắn hạn</t>
  </si>
  <si>
    <t xml:space="preserve">5. Vay Quỹ Hỗ trợ thanh toán </t>
  </si>
  <si>
    <t>6. Phải trả hoạt động giao dịch chứng khoán</t>
  </si>
  <si>
    <t xml:space="preserve">324
</t>
  </si>
  <si>
    <t xml:space="preserve">325
</t>
  </si>
  <si>
    <t xml:space="preserve">327
</t>
  </si>
  <si>
    <t xml:space="preserve">329
</t>
  </si>
  <si>
    <t xml:space="preserve">342
</t>
  </si>
  <si>
    <t xml:space="preserve">13. Quỹ bảo vệ Nhà đầu tư </t>
  </si>
  <si>
    <t xml:space="preserve">343
</t>
  </si>
  <si>
    <t xml:space="preserve">346
</t>
  </si>
  <si>
    <t xml:space="preserve">348
</t>
  </si>
  <si>
    <t xml:space="preserve">351
</t>
  </si>
  <si>
    <t xml:space="preserve">354
</t>
  </si>
  <si>
    <t xml:space="preserve">356
</t>
  </si>
  <si>
    <t xml:space="preserve">410
</t>
  </si>
  <si>
    <t xml:space="preserve">411
</t>
  </si>
  <si>
    <t xml:space="preserve">411.1a
</t>
  </si>
  <si>
    <t xml:space="preserve">411.3
</t>
  </si>
  <si>
    <t>C</t>
  </si>
  <si>
    <t>2</t>
  </si>
  <si>
    <t xml:space="preserve">130
</t>
  </si>
  <si>
    <t xml:space="preserve">221
</t>
  </si>
  <si>
    <t>116</t>
  </si>
  <si>
    <t xml:space="preserve">117.1
</t>
  </si>
  <si>
    <t xml:space="preserve">a. Cổ phiếu phổ thông có quyền biểu quyết </t>
  </si>
  <si>
    <t>117.2</t>
  </si>
  <si>
    <t>131</t>
  </si>
  <si>
    <t xml:space="preserve">138
</t>
  </si>
  <si>
    <t xml:space="preserve">200
</t>
  </si>
  <si>
    <t>210</t>
  </si>
  <si>
    <t xml:space="preserve">411.4
</t>
  </si>
  <si>
    <t>2.4. Đầu tư dài hạn khác</t>
  </si>
  <si>
    <t xml:space="preserve">1.4. Vốn khác của chủ sở hữu </t>
  </si>
  <si>
    <t>5. Quỹ dự phòng tài chính và rủi ro nghiệp vụ</t>
  </si>
  <si>
    <t>4. Cầm cố, thế chấp, ký quỹ, ký cược ngắn hạn</t>
  </si>
  <si>
    <t>111.2</t>
  </si>
  <si>
    <t>115</t>
  </si>
  <si>
    <t>117.3</t>
  </si>
  <si>
    <t xml:space="preserve">119
</t>
  </si>
  <si>
    <t>133</t>
  </si>
  <si>
    <t xml:space="preserve">139
</t>
  </si>
  <si>
    <t xml:space="preserve">211
</t>
  </si>
  <si>
    <t xml:space="preserve">225
</t>
  </si>
  <si>
    <t xml:space="preserve">240
</t>
  </si>
  <si>
    <t xml:space="preserve">328
</t>
  </si>
  <si>
    <t xml:space="preserve">330
</t>
  </si>
  <si>
    <t xml:space="preserve">212
</t>
  </si>
  <si>
    <t>15. Doanh thu chưa thực hiện ngắn hạn</t>
  </si>
  <si>
    <t>16. Nhận ký quỹ, ký cược ngắn hạn</t>
  </si>
  <si>
    <t>19. Quỹ khen thưởng, phúc lợi</t>
  </si>
  <si>
    <t xml:space="preserve"> 3.Trái phiếu chuyển đổi dài hạn - Cấu phần nợ</t>
  </si>
  <si>
    <t>B</t>
  </si>
  <si>
    <t>TỔNG CỘNG TÀI SẢN</t>
  </si>
  <si>
    <t>D. VỐN CHỦ SỞ HỮU</t>
  </si>
  <si>
    <t>1. Cầm cố, thế chấp, ký quỹ, ký cược dài hạn</t>
  </si>
  <si>
    <t>114</t>
  </si>
  <si>
    <t>117</t>
  </si>
  <si>
    <t>122</t>
  </si>
  <si>
    <t xml:space="preserve">129
</t>
  </si>
  <si>
    <t>134</t>
  </si>
  <si>
    <t xml:space="preserve">213
</t>
  </si>
  <si>
    <t xml:space="preserve">315
</t>
  </si>
  <si>
    <t xml:space="preserve">317
</t>
  </si>
  <si>
    <t xml:space="preserve">341
</t>
  </si>
  <si>
    <t xml:space="preserve">357
</t>
  </si>
  <si>
    <t>A. TÀI SẢN NGẮN HẠN (100 = 110 + 130)</t>
  </si>
  <si>
    <t>1.Tiền và các khoản tương đương tiền</t>
  </si>
  <si>
    <t>3. Các  khoản đầu tư  nắm giữ đến ngày đáo hạn (HTM)</t>
  </si>
  <si>
    <t>4. Các khoản cho vay</t>
  </si>
  <si>
    <t xml:space="preserve">6. Dự phòng suy giảm giá trị các tài sản tài chính và tài sản thế chấp
</t>
  </si>
  <si>
    <t>7.2.1. Phải thu cổ tức, tiền lãi đến ngày nhận</t>
  </si>
  <si>
    <t>12. Các khoản phải thu khác</t>
  </si>
  <si>
    <t>6. Thuế và các khoản khác phải thu Nhà nước</t>
  </si>
  <si>
    <t>8. Giao dịch mua bán lại trái phiếu Chính phủ</t>
  </si>
  <si>
    <t xml:space="preserve">I. Tài sản tài chính dài hạn </t>
  </si>
  <si>
    <t>2. Các khoản đầu tư</t>
  </si>
  <si>
    <t>1. Tài sản cố định hữu hình</t>
  </si>
  <si>
    <t xml:space="preserve">413
</t>
  </si>
  <si>
    <t xml:space="preserve">415
</t>
  </si>
  <si>
    <t>1.2. Các khoản tương đương tiền</t>
  </si>
  <si>
    <t xml:space="preserve">7.2.2. Dự thu cổ tức, tiền lãi chưa đến ngày nhận </t>
  </si>
  <si>
    <t>10. Phải thu nội bộ</t>
  </si>
  <si>
    <t>1. Tạm ứng</t>
  </si>
  <si>
    <t>2. Vật tư văn phòng, công cụ, dụng cụ</t>
  </si>
  <si>
    <t>5. Thuế giá trị gia tăng được khấu trừ</t>
  </si>
  <si>
    <t>7. Tài sản ngắn hạn khác</t>
  </si>
  <si>
    <t xml:space="preserve">2.2. Đầu tư vào công ty con </t>
  </si>
  <si>
    <t xml:space="preserve">   - Giá trị hao mòn luỹ kế (*)</t>
  </si>
  <si>
    <t xml:space="preserve">   - Đánh giá TSCĐHH theo giá trị hợp lý</t>
  </si>
  <si>
    <t xml:space="preserve">  - Giá trị hao mòn luỹ kế (*)</t>
  </si>
  <si>
    <t xml:space="preserve">(440 = 300 + 400)
</t>
  </si>
  <si>
    <t>2. Chi phí trả trước dài hạn</t>
  </si>
  <si>
    <t>4. Tiền nộp Quỹ Hỗ trợ thanh toán</t>
  </si>
  <si>
    <t xml:space="preserve"> (270 = 100 + 200)</t>
  </si>
  <si>
    <t>C. NỢ PHẢI TRẢ (300 = 310 + 340)</t>
  </si>
  <si>
    <t>7. Chi phí phải trả dài hạn</t>
  </si>
  <si>
    <t>I. Tài sản tài chính</t>
  </si>
  <si>
    <t>1.1. Tiền</t>
  </si>
  <si>
    <t>2. Các tài sản tài chính ghi nhận thông qua lãi/lỗ (FVTPL)</t>
  </si>
  <si>
    <t>5. Tài sản tài chính sẵn sàng để bán (AFS)</t>
  </si>
  <si>
    <t>7. Các khoản phải thu</t>
  </si>
  <si>
    <t xml:space="preserve">7.1. Phải thu bán các tài sản tài chính </t>
  </si>
  <si>
    <t>9. Phải thu các dịch vụ CTCK cung cấp</t>
  </si>
  <si>
    <t>11. Phải thu về lỗi giao dịch chứng khoán</t>
  </si>
  <si>
    <t>B. TÀI SẢN DÀI HẠN (200 = 210 + 220 + 230 + 240 + 250 - 260)</t>
  </si>
  <si>
    <t xml:space="preserve">2.3. Đầu tư vào công ty liên doanh, liên kết </t>
  </si>
  <si>
    <t>2. Tài sản cố định thuê tài chính</t>
  </si>
  <si>
    <t xml:space="preserve">   - Nguyên giá</t>
  </si>
  <si>
    <t xml:space="preserve">   - Đánh giá TSCĐTTC theo giá trị hợp lý</t>
  </si>
  <si>
    <t>3. Tài sản cố định vô hình</t>
  </si>
  <si>
    <t xml:space="preserve">  - Nguyên giá</t>
  </si>
  <si>
    <t>IV.Chi phí xây dựng cơ bản dở dang</t>
  </si>
  <si>
    <t xml:space="preserve">  - Đánh giá TSCĐVH theo giá trị hợp lý</t>
  </si>
  <si>
    <t>5. Tài sản dài hạn khác</t>
  </si>
  <si>
    <t xml:space="preserve">414
</t>
  </si>
  <si>
    <t xml:space="preserve">416
</t>
  </si>
  <si>
    <t xml:space="preserve">417.1
</t>
  </si>
  <si>
    <t>1.2. Nợ thuê tài chính ngắn hạn</t>
  </si>
  <si>
    <t xml:space="preserve">417
</t>
  </si>
  <si>
    <t xml:space="preserve">417.2
</t>
  </si>
  <si>
    <t>3. Tài sản thuế thu nhập hoãn lại</t>
  </si>
  <si>
    <t>I. Nợ phải trả ngắn hạn</t>
  </si>
  <si>
    <t xml:space="preserve">1.1. Vay ngắn hạn </t>
  </si>
  <si>
    <t>17.Các khoản phải trả, phải nộp khác ngắn hạn</t>
  </si>
  <si>
    <t xml:space="preserve">112
</t>
  </si>
  <si>
    <t>1.1.Vay dài hạn</t>
  </si>
  <si>
    <t xml:space="preserve"> 6. Người mua trả tiền trước dài hạn</t>
  </si>
  <si>
    <t>11. Các khoản phải trả, phải nộp khác dài hạn</t>
  </si>
  <si>
    <t>7. Phải trả về lỗi giao dịch các tài sản tài chính</t>
  </si>
  <si>
    <t>8.  Phải trả người bán ngắn hạn</t>
  </si>
  <si>
    <t xml:space="preserve">212.3
</t>
  </si>
  <si>
    <t>440</t>
  </si>
  <si>
    <t>3. Dự phòng suy giảm tài sản tài chính dài hạn</t>
  </si>
  <si>
    <t>II. Tài sản cố định</t>
  </si>
  <si>
    <t>III. Bất động sản đầu tư</t>
  </si>
  <si>
    <t xml:space="preserve">  - Đánh giá BĐSĐT theo giá trị hợp lý</t>
  </si>
  <si>
    <t>V. Tài sản dài hạn khác</t>
  </si>
  <si>
    <t>VI. Dự phòng suy giảm giá trị tài sản dài hạn</t>
  </si>
  <si>
    <t>1. Vay và nợ thuê tài chính ngắn hạn</t>
  </si>
  <si>
    <t xml:space="preserve">118
</t>
  </si>
  <si>
    <t xml:space="preserve">120
</t>
  </si>
  <si>
    <t xml:space="preserve">121
</t>
  </si>
  <si>
    <t>136</t>
  </si>
  <si>
    <t>3. Chi phí trả trước ngắn hạn</t>
  </si>
  <si>
    <t>9. Dự phòng suy giảm giá trị tài sản ngắn hạn khác</t>
  </si>
  <si>
    <t>2.1.Các khoản đầu tư nắm giữ đến ngày đáo hạn</t>
  </si>
  <si>
    <t>1. Các khoản phải thu dài hạn</t>
  </si>
  <si>
    <t>TÀI SẢN</t>
  </si>
  <si>
    <t>10. Thuế và các khoản phải nộp Nhà nước</t>
  </si>
  <si>
    <t>11. Phải trả người lao động</t>
  </si>
  <si>
    <t>9. Người mua trả tiền trước ngắn hạn</t>
  </si>
  <si>
    <t>12.Các khoản trích nộp phúc lợi nhân viên</t>
  </si>
  <si>
    <t>13. Chi phí phải trả ngắn hạn</t>
  </si>
  <si>
    <t>14. Phải trả nội bộ ngắn hạn</t>
  </si>
  <si>
    <t>18. Dự phòng phải trả ngắn hạn</t>
  </si>
  <si>
    <t>20. Giao dịch mua bán lại trái phiếu Chính phủ</t>
  </si>
  <si>
    <t>1.2. Nợ thuê tài chính dài hạn</t>
  </si>
  <si>
    <t>2. Vay tài sản tài chính dài hạn</t>
  </si>
  <si>
    <t xml:space="preserve"> (400 = 410 + 420)</t>
  </si>
  <si>
    <t xml:space="preserve">TỔNG CỘNG NỢ  VÀ VỐN CHỦ SỞ HỮU </t>
  </si>
  <si>
    <t>1</t>
  </si>
  <si>
    <t>I. Vốn chủ sở hữu</t>
  </si>
  <si>
    <t>1.2. Thặng dư vốn cổ phần</t>
  </si>
  <si>
    <t>2. Chênh lệch đánh giá tài sản theo giá trị hợp lý</t>
  </si>
  <si>
    <t>6. Các Quỹ khác thuộc vốn chủ sở hữu</t>
  </si>
  <si>
    <t xml:space="preserve">II. Nguồn kinh phí và quỹ khác </t>
  </si>
  <si>
    <t xml:space="preserve">411.1
</t>
  </si>
  <si>
    <t xml:space="preserve">411.1b
</t>
  </si>
  <si>
    <t>II. Nợ phải trả dài hạn</t>
  </si>
  <si>
    <t>1. Vay và nợ thuê tài chính dài hạn</t>
  </si>
  <si>
    <t>4.Trái phiếu phát hành dài hạn</t>
  </si>
  <si>
    <t>5.  Phải trả người bán dài hạn</t>
  </si>
  <si>
    <t>9. Doanh thu chưa thực hiện dài hạn</t>
  </si>
  <si>
    <t>10. Nhận ký quỹ, ký cược dài hạn</t>
  </si>
  <si>
    <t>15. Quỹ phát triển khoa học và công nghệ</t>
  </si>
  <si>
    <t>1.1. Vốn góp của chủ sở hữu</t>
  </si>
  <si>
    <t>1.3. Quyền chọn chuyển đổi trái phiếu - Cấu phần vốn</t>
  </si>
  <si>
    <t>1.5. Cổ phiếu quỹ (*)</t>
  </si>
  <si>
    <t>4. Quỹ dự trữ bổ sung vốn  điều lệ</t>
  </si>
  <si>
    <t>7. Lợi nhuận chưa phân phối</t>
  </si>
  <si>
    <t>7.2. Lợi nhuận chưa thực hiện</t>
  </si>
  <si>
    <t>113</t>
  </si>
  <si>
    <t xml:space="preserve">117.4
</t>
  </si>
  <si>
    <t xml:space="preserve">132
</t>
  </si>
  <si>
    <t>135</t>
  </si>
  <si>
    <t>137</t>
  </si>
  <si>
    <t xml:space="preserve">212.4
</t>
  </si>
  <si>
    <t xml:space="preserve">226b
</t>
  </si>
  <si>
    <t xml:space="preserve">229a
</t>
  </si>
  <si>
    <t xml:space="preserve">231
</t>
  </si>
  <si>
    <t xml:space="preserve">232b
</t>
  </si>
  <si>
    <t xml:space="preserve">252
</t>
  </si>
  <si>
    <t xml:space="preserve">270
</t>
  </si>
  <si>
    <t xml:space="preserve">300
</t>
  </si>
  <si>
    <t xml:space="preserve">311
</t>
  </si>
  <si>
    <t xml:space="preserve">313
</t>
  </si>
  <si>
    <t xml:space="preserve">314
</t>
  </si>
  <si>
    <t xml:space="preserve">316
</t>
  </si>
  <si>
    <t xml:space="preserve">321
</t>
  </si>
  <si>
    <t xml:space="preserve">326
</t>
  </si>
  <si>
    <t xml:space="preserve">331
</t>
  </si>
  <si>
    <t xml:space="preserve">340
</t>
  </si>
  <si>
    <t xml:space="preserve">345
</t>
  </si>
  <si>
    <t xml:space="preserve">347
</t>
  </si>
  <si>
    <t xml:space="preserve">349
</t>
  </si>
  <si>
    <t xml:space="preserve">350
</t>
  </si>
  <si>
    <t xml:space="preserve">352
</t>
  </si>
  <si>
    <t xml:space="preserve">353
</t>
  </si>
  <si>
    <t xml:space="preserve">355
</t>
  </si>
  <si>
    <t xml:space="preserve">400
</t>
  </si>
  <si>
    <t xml:space="preserve">411.2
</t>
  </si>
  <si>
    <t xml:space="preserve">411.5
</t>
  </si>
  <si>
    <t xml:space="preserve">412
</t>
  </si>
  <si>
    <t xml:space="preserve">212.1
</t>
  </si>
  <si>
    <t xml:space="preserve">212.2
</t>
  </si>
  <si>
    <t xml:space="preserve">227
</t>
  </si>
  <si>
    <t xml:space="preserve">250
</t>
  </si>
  <si>
    <t xml:space="preserve">255
</t>
  </si>
  <si>
    <t xml:space="preserve">420
</t>
  </si>
  <si>
    <t>8. Phải trả nội bộ dài hạn</t>
  </si>
  <si>
    <t xml:space="preserve">14. Thuế thu nhập hoãn lại phải trả </t>
  </si>
  <si>
    <t>1. Vốn đầu tư của chủ sở hữu</t>
  </si>
  <si>
    <t>12. Dự phòng phải trả dài hạn</t>
  </si>
  <si>
    <t xml:space="preserve">b. Cổ phiếu ưu đãi </t>
  </si>
  <si>
    <t>3. Chênh lệch tỷ giá hối đoái</t>
  </si>
  <si>
    <t>7.1. Lợi nhuận sau thuế đã thực hiện</t>
  </si>
  <si>
    <t xml:space="preserve">332
</t>
  </si>
  <si>
    <t xml:space="preserve">344
</t>
  </si>
  <si>
    <t xml:space="preserve">220
</t>
  </si>
  <si>
    <t xml:space="preserve">222
</t>
  </si>
  <si>
    <t xml:space="preserve">223a
</t>
  </si>
  <si>
    <t xml:space="preserve">223b
</t>
  </si>
  <si>
    <t xml:space="preserve">224
</t>
  </si>
  <si>
    <t xml:space="preserve">7.3. Tiền gửi bù trừ và thanh toán giao dịch chứng khoán
</t>
  </si>
  <si>
    <t>11</t>
  </si>
  <si>
    <t xml:space="preserve">22.3
</t>
  </si>
  <si>
    <t xml:space="preserve">22.4
</t>
  </si>
  <si>
    <t xml:space="preserve">29.2
</t>
  </si>
  <si>
    <t xml:space="preserve">11. Phải trả của khách hàng về lỗi giao dịch các tài sản tài chính
</t>
  </si>
  <si>
    <t xml:space="preserve">30
</t>
  </si>
  <si>
    <t xml:space="preserve">31.1
</t>
  </si>
  <si>
    <t xml:space="preserve">3. Tài sản nhận thế chấp
</t>
  </si>
  <si>
    <t xml:space="preserve">25
</t>
  </si>
  <si>
    <t xml:space="preserve">27
</t>
  </si>
  <si>
    <t xml:space="preserve">28
</t>
  </si>
  <si>
    <t xml:space="preserve">31.2
</t>
  </si>
  <si>
    <t xml:space="preserve">32
</t>
  </si>
  <si>
    <t xml:space="preserve">1. Tài sản cố định thuê ngoài
</t>
  </si>
  <si>
    <t xml:space="preserve">8. Tài sản tài chính niêm yết/đăng ký giao dịch tại VSD của CTCK 
</t>
  </si>
  <si>
    <t xml:space="preserve">12. Tài sản tài chính chưa lưu ký tại VSD của CTCK 
</t>
  </si>
  <si>
    <t xml:space="preserve">1.Tài sản tài chính niêm yết/đăng ký giao dịch tại VSD của Nhà đầu tư
</t>
  </si>
  <si>
    <t xml:space="preserve">b.Tài sản tài chính đã lưu ký tại VSD và chưa giao dịch, hạn chế chuyển nhượng
</t>
  </si>
  <si>
    <t xml:space="preserve">8. Phải trả Nhà đầu tư về tiền gửi giao dịch chứng khoán theo phương thức CTCK quản lý
</t>
  </si>
  <si>
    <t>9</t>
  </si>
  <si>
    <t xml:space="preserve">21.1
</t>
  </si>
  <si>
    <t xml:space="preserve">22
</t>
  </si>
  <si>
    <t xml:space="preserve">22.1
</t>
  </si>
  <si>
    <t xml:space="preserve">024.a
</t>
  </si>
  <si>
    <t xml:space="preserve">29
</t>
  </si>
  <si>
    <t xml:space="preserve">c.Tài sản tài chính đã lưu ký tại VSD và chưa giao dịch, cầm cố
</t>
  </si>
  <si>
    <t xml:space="preserve">d.Tài sản tài chính đã lưu ký tại VSD và chưa giao dịch, phong tỏa, tạm giữ
</t>
  </si>
  <si>
    <t xml:space="preserve">3. Tài sản tài chính chờ về của Nhà đầu tư
</t>
  </si>
  <si>
    <t xml:space="preserve">a. Tiền gửi bù trừ và thanh toán giao dịch chứng khoán Nhà đầu tư trong nước
</t>
  </si>
  <si>
    <t>5</t>
  </si>
  <si>
    <t>8</t>
  </si>
  <si>
    <t>12</t>
  </si>
  <si>
    <t>13</t>
  </si>
  <si>
    <t xml:space="preserve">21.4
</t>
  </si>
  <si>
    <t xml:space="preserve">33
</t>
  </si>
  <si>
    <t xml:space="preserve">35
</t>
  </si>
  <si>
    <t xml:space="preserve">e.Tài sản tài chính chờ thanh toán
</t>
  </si>
  <si>
    <t xml:space="preserve">29.1
</t>
  </si>
  <si>
    <t xml:space="preserve">7. Cổ phiếu quỹ
</t>
  </si>
  <si>
    <t xml:space="preserve">d.Tài sản tài chính phong tỏa, tạm giữ
</t>
  </si>
  <si>
    <t xml:space="preserve">2
</t>
  </si>
  <si>
    <t xml:space="preserve">9. Tài sản tài chính đã lưu ký tại VSD và chưa giao dịch của CTCK 
</t>
  </si>
  <si>
    <t>21.2</t>
  </si>
  <si>
    <t xml:space="preserve">21.3
</t>
  </si>
  <si>
    <t xml:space="preserve">21.5
</t>
  </si>
  <si>
    <t xml:space="preserve">21.6
</t>
  </si>
  <si>
    <t xml:space="preserve">22.2
</t>
  </si>
  <si>
    <t xml:space="preserve">23
</t>
  </si>
  <si>
    <t xml:space="preserve">024.b
</t>
  </si>
  <si>
    <t xml:space="preserve">26
</t>
  </si>
  <si>
    <t xml:space="preserve">31
</t>
  </si>
  <si>
    <t xml:space="preserve">34
</t>
  </si>
  <si>
    <t xml:space="preserve">A
</t>
  </si>
  <si>
    <t xml:space="preserve">13.Tài sản tài chính được hưởng quyền của CTCK 
</t>
  </si>
  <si>
    <t xml:space="preserve">a.Tài sản tài chính giao dịch tự do chuyển nhượng
</t>
  </si>
  <si>
    <t xml:space="preserve">c.Tài sản tài chính giao dịch cầm cố
</t>
  </si>
  <si>
    <t xml:space="preserve">A.TÀI SẢN CỦA CTCK VÀ TÀI SẢN QUẢN LÝ THEO CAM KẾT
</t>
  </si>
  <si>
    <t xml:space="preserve">6. Cổ phiếu đang lưu hành
</t>
  </si>
  <si>
    <t xml:space="preserve">11. Tài sản tài chính sửa lỗi giao dịch của CTCK 
</t>
  </si>
  <si>
    <t xml:space="preserve">B. TÀI SẢN VÀ CÁC KHOẢN PHẢI TRẢ VỀ TÀI SẢN QUẢN LÝ CAM KẾT VỚI KHÁCH HÀNG 
</t>
  </si>
  <si>
    <t xml:space="preserve">f. Tài sản tài chính chờ cho vay
</t>
  </si>
  <si>
    <t xml:space="preserve">2. Tài sản tài chính đã lưu ký tại VSD và chưa giao dịch của Nhà đầu tư
</t>
  </si>
  <si>
    <t xml:space="preserve">a.Tài sản tài chính đã lưu ký tại VSD và chưa giao dịch, tự do chuyển nhượng
</t>
  </si>
  <si>
    <t xml:space="preserve">2. Chứng chỉ có giá nhận giữ hộ
</t>
  </si>
  <si>
    <t xml:space="preserve">4. Nợ khó đòi đã xử lý
</t>
  </si>
  <si>
    <t xml:space="preserve">5. Ngoại tệ các loại
</t>
  </si>
  <si>
    <t xml:space="preserve">10. Tài sản tài chính chờ về của CTCK 
</t>
  </si>
  <si>
    <t xml:space="preserve">b.Tài sản tài chính hạn chế chuyển nhượng
</t>
  </si>
  <si>
    <t xml:space="preserve">4. Tài sản tài chính sửa lỗi giao dịch của Nhà đầu tư
</t>
  </si>
  <si>
    <t xml:space="preserve">5.Tài sản tài chính chưa lưu ký tại VSD của Nhà đầu tư
</t>
  </si>
  <si>
    <t xml:space="preserve">6.Tài sản tài chính được hưởng quyền của Nhà đầu tư
</t>
  </si>
  <si>
    <t xml:space="preserve">7. Tiền gửi của khách hàng
</t>
  </si>
  <si>
    <t xml:space="preserve">7.1. Tiền gửi của Nhà đầu tư về giao dịch chứng khoán theo phương thức CTCK quản lý
</t>
  </si>
  <si>
    <t xml:space="preserve">7.2.Tiền gửi tổng hợp giao dịch chứng khoán cho khách hàng
</t>
  </si>
  <si>
    <t xml:space="preserve">9. Phải trả Tổ chức phát hành chứng khoán
</t>
  </si>
  <si>
    <t xml:space="preserve">b. Tiền gửi bù trừ và thanh toán giao dịch chứng khoán Nhà đầu tư nước ngoài
</t>
  </si>
  <si>
    <t xml:space="preserve">7.4. Tiền gửi của Tổ chức phát hành chứng khoán
</t>
  </si>
  <si>
    <t xml:space="preserve">8.1. Phải trả Nhà đầu tư trong nước về tiền gửi giao dịch chứng khoán theo phương thức CTCK quản lý 
</t>
  </si>
  <si>
    <t xml:space="preserve">8.2. Phải trả Nhà đầu tư nước ngoài về tiền gửi giao dịch chứng khoán theo phương thức CTCK quản lý
</t>
  </si>
  <si>
    <t xml:space="preserve">10. Phải thu của khách hàng về lỗi giao dịch các tài sản tài chính
</t>
  </si>
  <si>
    <t xml:space="preserve">12. Phải trả cổ tức, gốc và lãi trái phiếu
</t>
  </si>
  <si>
    <t>3</t>
  </si>
  <si>
    <t>4</t>
  </si>
  <si>
    <t>10</t>
  </si>
  <si>
    <t>21</t>
  </si>
  <si>
    <t>6</t>
  </si>
  <si>
    <t>7</t>
  </si>
  <si>
    <t>CHỈ TIÊU</t>
  </si>
  <si>
    <t>Năm nay</t>
  </si>
  <si>
    <t>Năm trước</t>
  </si>
  <si>
    <t xml:space="preserve">Đơn vị tính: Đồng Việt Nam </t>
  </si>
  <si>
    <t xml:space="preserve">Cộng kết quả hoạt động khác (80= 71-72)
</t>
  </si>
  <si>
    <t xml:space="preserve">4.2. Chi phí lãi vay
</t>
  </si>
  <si>
    <t xml:space="preserve">4.5. Chi phí tài chính khác
</t>
  </si>
  <si>
    <t xml:space="preserve">V. CHI PHÍ BÁN HÀNG
</t>
  </si>
  <si>
    <t xml:space="preserve">10.1.Chi phí thuế TNDN hiện hành
</t>
  </si>
  <si>
    <t xml:space="preserve">XII. THU NHẬP (LỖ) TOÀN DIỆN KHÁC SAU THUẾ TNDN
</t>
  </si>
  <si>
    <t xml:space="preserve">12.4. Lãi, lỗ toàn diện khác
</t>
  </si>
  <si>
    <t xml:space="preserve">1.9. Doanh thu nghiệp vụ lưu ký chứng khoán
</t>
  </si>
  <si>
    <t xml:space="preserve">1.10. Doanh thu hoạt động tư vấn tài chính
</t>
  </si>
  <si>
    <t xml:space="preserve">II. CHI PHÍ HOẠT ĐỘNG 
</t>
  </si>
  <si>
    <t xml:space="preserve">2.1. Lỗ các tài sản tài chính ghi nhận thông qua lãi/lỗ (FVTPL)
</t>
  </si>
  <si>
    <t xml:space="preserve">2.9. Chi phí nghiệp vụ tư vấn đầu tư chứng khoán
</t>
  </si>
  <si>
    <t xml:space="preserve">Cộng chi phí hoạt động (40 = 21 đến 32)
</t>
  </si>
  <si>
    <t xml:space="preserve">3.1. Chênh lệch lãi tỷ giá hối đoái đã và chưa thực hiện
</t>
  </si>
  <si>
    <t xml:space="preserve">3.2. Doanh thu, dự thu cổ tức, lãi tiền gửi ngân hàng không cố định 
</t>
  </si>
  <si>
    <t xml:space="preserve">Cộng doanh thu hoạt động tài chính (50 = 41 đến 44)
</t>
  </si>
  <si>
    <t xml:space="preserve">8.1. Thu nhập khác
</t>
  </si>
  <si>
    <t xml:space="preserve">70
</t>
  </si>
  <si>
    <t xml:space="preserve">71
</t>
  </si>
  <si>
    <t xml:space="preserve">100.2
</t>
  </si>
  <si>
    <t xml:space="preserve">VI. CHI PHÍ QUẢN LÝ CÔNG TY CHỨNG KHOÁN
</t>
  </si>
  <si>
    <t xml:space="preserve">VIII. THU NHẬP KHÁC VÀ CHI PHÍ KHÁC 
</t>
  </si>
  <si>
    <t xml:space="preserve">8.2. Chi phí khác
</t>
  </si>
  <si>
    <t xml:space="preserve">10.2.Chi phí thuế TNDN hoãn lại
</t>
  </si>
  <si>
    <t xml:space="preserve">1.7. Doanh thu nghiệp vụ bảo lãnh, đại lý phát hành chứng khoán
</t>
  </si>
  <si>
    <t xml:space="preserve">XI. LỢI NHUẬN KẾ TOÁN SAU THUẾ TNDN (200 = 90 - 100)
</t>
  </si>
  <si>
    <t xml:space="preserve">12.1.Lãi/(Lỗ) từ đánh giá lại các tài sản tài chính sẵn sàng để bán
</t>
  </si>
  <si>
    <t xml:space="preserve">a. Lãi bán các tài sản tài chính FVTPL
</t>
  </si>
  <si>
    <t xml:space="preserve">1.2. Lãi từ các khoản đầu tư nắm giữ đến ngày đáo hạn (HTM)
</t>
  </si>
  <si>
    <t xml:space="preserve">1.11. Thu nhập hoạt động khác 
</t>
  </si>
  <si>
    <t xml:space="preserve">c.     Chi phí giao dịch mua các tài sản tài chính FVTPL
</t>
  </si>
  <si>
    <t xml:space="preserve">2.3. Lỗ và ghi nhận chênh lệch đánh giá theo giá trị hợp lý tài sản tài chính sẵn sàng để bán (AFS) khi phân loại lại
</t>
  </si>
  <si>
    <t xml:space="preserve">2.12. Chi phí các dịch vụ khác
</t>
  </si>
  <si>
    <t xml:space="preserve">Tổng thu nhập toàn diện
</t>
  </si>
  <si>
    <t xml:space="preserve">1.1
</t>
  </si>
  <si>
    <t xml:space="preserve">3
</t>
  </si>
  <si>
    <t xml:space="preserve">VII. KẾT QUẢ HOẠT ĐỘNG (70= 20+50-40 -60-61-62)
</t>
  </si>
  <si>
    <t xml:space="preserve">Cộng doanh thu hoạt động (20 = 01 đến 11)
</t>
  </si>
  <si>
    <t xml:space="preserve">a.     Lỗ bán các tài sản tài chính FVTPL
</t>
  </si>
  <si>
    <t xml:space="preserve">2.2. Lỗ các khoản đầu tư nắm giữ đến ngày đáo hạn (HTM)
</t>
  </si>
  <si>
    <t xml:space="preserve">2.7. Chi phí nghiệp vụ môi giới chứng khoán
</t>
  </si>
  <si>
    <t xml:space="preserve">11
</t>
  </si>
  <si>
    <t xml:space="preserve">44
</t>
  </si>
  <si>
    <t xml:space="preserve">51
</t>
  </si>
  <si>
    <t xml:space="preserve">62
</t>
  </si>
  <si>
    <t xml:space="preserve">100
</t>
  </si>
  <si>
    <t>303</t>
  </si>
  <si>
    <t xml:space="preserve">2.5. Lỗ từ các tài sản tài chính phái sinh phòng ngừa rủi ro
</t>
  </si>
  <si>
    <t xml:space="preserve">2.6. Chi phí hoạt động tự doanh
</t>
  </si>
  <si>
    <t xml:space="preserve">12.2. Lãi/(lỗ) chênh lệch tỷ giá của hoạt động tại nước ngoài 
</t>
  </si>
  <si>
    <t xml:space="preserve">1.3. Lãi từ các khoản cho vay và phải thu
</t>
  </si>
  <si>
    <t xml:space="preserve">24
</t>
  </si>
  <si>
    <t xml:space="preserve">43
</t>
  </si>
  <si>
    <t xml:space="preserve">3.4. Doanh thu khác về đầu tư
</t>
  </si>
  <si>
    <t xml:space="preserve">IV. CHI PHÍ TÀI CHÍNH 
</t>
  </si>
  <si>
    <t xml:space="preserve">4.4. Chi phí dự phòng suy giảm giá trị các khoản đầu tư tài chính dài hạn
</t>
  </si>
  <si>
    <t>502</t>
  </si>
  <si>
    <t xml:space="preserve">80
</t>
  </si>
  <si>
    <t xml:space="preserve">90
</t>
  </si>
  <si>
    <t xml:space="preserve">501
</t>
  </si>
  <si>
    <t xml:space="preserve">1.1. Lãi từ các tài sản tài chính ghi nhận thông qua lãi/lỗ (FVTPL)
</t>
  </si>
  <si>
    <t xml:space="preserve">1.4. Lãi từ tài sản tài chính sẵn sàng để bán (AFS)
</t>
  </si>
  <si>
    <t xml:space="preserve">1.5. Lãi từ các công cụ phái sinh phòng ngừa rủi ro
</t>
  </si>
  <si>
    <t xml:space="preserve">13.2.Thu nhập pha loãng trên cổ phiếu (Đồng/1 cổ phiếu)
</t>
  </si>
  <si>
    <t xml:space="preserve">6
</t>
  </si>
  <si>
    <t xml:space="preserve">8
</t>
  </si>
  <si>
    <t xml:space="preserve">9
</t>
  </si>
  <si>
    <t xml:space="preserve">21.2
</t>
  </si>
  <si>
    <t xml:space="preserve">61
</t>
  </si>
  <si>
    <t xml:space="preserve">91
</t>
  </si>
  <si>
    <t xml:space="preserve">100.1
</t>
  </si>
  <si>
    <t xml:space="preserve">301
</t>
  </si>
  <si>
    <t xml:space="preserve">500
</t>
  </si>
  <si>
    <t xml:space="preserve">c. Cổ tức, tiền lãi phát sinh từ tài sản tài chính FVTPL
</t>
  </si>
  <si>
    <t xml:space="preserve">2.4. Chi phí dự phòng tài sản tài chính, xử lý tổn thất các khoản phải thu khó đòi và lỗ suy giảm tài sản tài chính và chi phí đi vay của các khoản cho vay
</t>
  </si>
  <si>
    <t xml:space="preserve">2.10. Chi phí nghiệp vụ lưu ký chứng khoán
</t>
  </si>
  <si>
    <t xml:space="preserve">2.11. Chi phí hoạt động tư vấn tài chính
</t>
  </si>
  <si>
    <t xml:space="preserve">IX. TỔNG LỢI NHUẬN KẾ TOÁN TRƯỚC THUẾ (90=70 + 80)
</t>
  </si>
  <si>
    <t xml:space="preserve">b.    Chênh lệch giảm đánh giá lại các TSTC FVTPL
</t>
  </si>
  <si>
    <t xml:space="preserve">2.8. Chi phí nghiệp vụ bảo lãnh, đại lý phát hành chứng khoán
</t>
  </si>
  <si>
    <t xml:space="preserve">4.3. Lỗ bán, thanh lý các khoản đầu tư vào công ty con, liên kết, liên doanh
</t>
  </si>
  <si>
    <t xml:space="preserve">Cộng chi phí tài chính (60 = 51 đến 55)
</t>
  </si>
  <si>
    <t xml:space="preserve">9.2. Lợi nhuận chưa thực hiện
</t>
  </si>
  <si>
    <t xml:space="preserve">12.3. Lãi, lỗ đánh giá lại tài sản cố định theo mô hình giá trị hợp lý
</t>
  </si>
  <si>
    <t xml:space="preserve">XIII. THU NHẬP THUẦN TRÊN CỔ PHIẾU PHỔ THÔNG
</t>
  </si>
  <si>
    <t xml:space="preserve">1.2
</t>
  </si>
  <si>
    <t xml:space="preserve">7
</t>
  </si>
  <si>
    <t>26</t>
  </si>
  <si>
    <t xml:space="preserve">42
</t>
  </si>
  <si>
    <t xml:space="preserve">55
</t>
  </si>
  <si>
    <t xml:space="preserve">60
</t>
  </si>
  <si>
    <t xml:space="preserve">54
</t>
  </si>
  <si>
    <t xml:space="preserve">92
</t>
  </si>
  <si>
    <t xml:space="preserve">302
</t>
  </si>
  <si>
    <t xml:space="preserve">III. DOANH THU HOẠT ĐỘNG TÀI CHÍNH
</t>
  </si>
  <si>
    <t xml:space="preserve">3.3. Lãi bán, thanh lý các khoản đầu tư vào công ty con, liên kết, liên doanh
</t>
  </si>
  <si>
    <t xml:space="preserve">13.1.Lãi cơ bản trên cổ phiếu (Đồng/1 cổ phiếu)
</t>
  </si>
  <si>
    <t xml:space="preserve">10
</t>
  </si>
  <si>
    <t xml:space="preserve">20
</t>
  </si>
  <si>
    <t xml:space="preserve">X. CHI PHÍ THUẾ TNDN
</t>
  </si>
  <si>
    <t xml:space="preserve">1.3
</t>
  </si>
  <si>
    <t xml:space="preserve">40
</t>
  </si>
  <si>
    <t xml:space="preserve">41
</t>
  </si>
  <si>
    <t xml:space="preserve">50
</t>
  </si>
  <si>
    <t xml:space="preserve">52
</t>
  </si>
  <si>
    <t xml:space="preserve">60
</t>
  </si>
  <si>
    <t xml:space="preserve">72
</t>
  </si>
  <si>
    <t xml:space="preserve">9.1. Lợi nhuận đã thực hiện
</t>
  </si>
  <si>
    <t>304</t>
  </si>
  <si>
    <t xml:space="preserve">I. DOANH THU HOẠT ĐỘNG 
</t>
  </si>
  <si>
    <t xml:space="preserve">b. Chênh lệch tăng về đánh giá lại các TSTC FVTPL 
</t>
  </si>
  <si>
    <t xml:space="preserve">1.6. Doanh thu nghiệp vụ môi giới chứng khoán
</t>
  </si>
  <si>
    <t xml:space="preserve">1.8. Doanh thu nghiệp vụ tư vấn đầu tư chứng khoán
</t>
  </si>
  <si>
    <t xml:space="preserve">4.1. Chênh lệch lỗ tỷ giá hối đoái đã và chưa thực hiện
</t>
  </si>
  <si>
    <t xml:space="preserve">(Theo phương pháp trực tiếp) </t>
  </si>
  <si>
    <t>Đơn vị tính: Đồng Việt Nam</t>
  </si>
  <si>
    <t xml:space="preserve">1.Tiền đã chi mua các tài sản tài chính
</t>
  </si>
  <si>
    <t xml:space="preserve">10.Tiền chi thanh toán các chi phí cho hoạt động mua, bán các tài sản tài chính 
</t>
  </si>
  <si>
    <t xml:space="preserve">12. Tiền chi khác cho hoạt động kinh doanh
</t>
  </si>
  <si>
    <t xml:space="preserve">Lưu chuyển tiền thuần từ hoạt động kinh doanh
</t>
  </si>
  <si>
    <t xml:space="preserve">1.Tiền thu từ phát hành cổ phiếu, nhận vốn góp của chủ sở hữu
</t>
  </si>
  <si>
    <t xml:space="preserve">3.Tiền vay gốc
</t>
  </si>
  <si>
    <t xml:space="preserve">4. Tiền chi trả nợ gốc vay
</t>
  </si>
  <si>
    <t xml:space="preserve">Ảnh hưởng của thay đổi tỷ giá hối đoái quy đổi ngoại tệ
</t>
  </si>
  <si>
    <t>30</t>
  </si>
  <si>
    <t>31</t>
  </si>
  <si>
    <t xml:space="preserve">34.2
</t>
  </si>
  <si>
    <t xml:space="preserve">36
</t>
  </si>
  <si>
    <t>60</t>
  </si>
  <si>
    <t>33.1</t>
  </si>
  <si>
    <t xml:space="preserve">34.1
</t>
  </si>
  <si>
    <t>50</t>
  </si>
  <si>
    <t>61</t>
  </si>
  <si>
    <t xml:space="preserve">1.Tiền chi để mua sắm, xây dựng TSCĐ, BĐSĐT và các tài sản khác
</t>
  </si>
  <si>
    <t xml:space="preserve">2.Tiền thu từ thanh lý, nhượng bán TSCĐ, BĐSĐT  và các tài sản khác
</t>
  </si>
  <si>
    <t>33</t>
  </si>
  <si>
    <t xml:space="preserve">63
</t>
  </si>
  <si>
    <t>20</t>
  </si>
  <si>
    <t>32</t>
  </si>
  <si>
    <t xml:space="preserve">33.2
</t>
  </si>
  <si>
    <t xml:space="preserve">34.3
</t>
  </si>
  <si>
    <t xml:space="preserve">Lưu chuyển tiền thuần từ hoạt động đầu tư
</t>
  </si>
  <si>
    <t xml:space="preserve">3.2. Tiền vay khác
</t>
  </si>
  <si>
    <t xml:space="preserve">IV. Tăng/giảm tiền thuần trong kỳ
</t>
  </si>
  <si>
    <t xml:space="preserve">V. Tiền và các khoản tương đương tiền đầu kỳ
</t>
  </si>
  <si>
    <t xml:space="preserve">Các khoản tương đương tiền
</t>
  </si>
  <si>
    <t xml:space="preserve">Tiền 
</t>
  </si>
  <si>
    <t xml:space="preserve">4.1. Tiền chi trả gốc vay Quỹ Hỗ trợ thanh toán
</t>
  </si>
  <si>
    <t xml:space="preserve">6. Cổ tức, lợi nhuận đã trả cho chủ sở hữu
</t>
  </si>
  <si>
    <t xml:space="preserve">I. Lưu chuyển tiền từ hoạt động kinh doanh
</t>
  </si>
  <si>
    <t xml:space="preserve">4. Cổ tức đã nhận 
</t>
  </si>
  <si>
    <t xml:space="preserve">III. Lưu chuyển tiền từ hoạt động tài chính
</t>
  </si>
  <si>
    <t xml:space="preserve">3.Tiền chi đầu tư góp vốn vào công ty con, công  ty liên doanh, liên kết và đầu tư khác
</t>
  </si>
  <si>
    <t>23</t>
  </si>
  <si>
    <t xml:space="preserve">4.Tiền thu hồi đầu tư góp vốn vào công ty con, công ty liên doanh, liên kết và đầu tư khác
</t>
  </si>
  <si>
    <t xml:space="preserve">2.Tiền chi trả vốn góp cho các chủ sở hữu, mua lại cổ phiếu đã phát hành
</t>
  </si>
  <si>
    <t xml:space="preserve">3.1. Tiền vay Quỹ Hỗ trợ thanh toán
</t>
  </si>
  <si>
    <t xml:space="preserve">4.2. Tiền chi trả gốc vay tài sản tài chính
</t>
  </si>
  <si>
    <t xml:space="preserve">4.3. Tiền chi trả gốc vay khác
</t>
  </si>
  <si>
    <t xml:space="preserve">5.Tiền chi trả nợ gốc thuê tài chính
</t>
  </si>
  <si>
    <t>22</t>
  </si>
  <si>
    <t>25</t>
  </si>
  <si>
    <t xml:space="preserve">8. Tiền chi trả cho người lao động
</t>
  </si>
  <si>
    <t xml:space="preserve">Lưu chuyển tiền thuần từ hoạt động tài chính
</t>
  </si>
  <si>
    <t xml:space="preserve">2.Tiền đã thu từ bán các tài sản tài chính
</t>
  </si>
  <si>
    <t>24</t>
  </si>
  <si>
    <t xml:space="preserve">7. Tiền chi trả Tổ chức cung cấp dịch vụ cho CTCK 
</t>
  </si>
  <si>
    <t>72</t>
  </si>
  <si>
    <t>73</t>
  </si>
  <si>
    <t xml:space="preserve">3. Tiền chi nộp Quỹ Hỗ trợ thanh toán
</t>
  </si>
  <si>
    <t xml:space="preserve">5. Tiền lãi đã thu
</t>
  </si>
  <si>
    <t xml:space="preserve">6. Tiền chi trả lãi vay cho hoạt động của CTCK 
</t>
  </si>
  <si>
    <t xml:space="preserve">11. Tiền thu khác từ hoạt động kinh doanh
</t>
  </si>
  <si>
    <t xml:space="preserve">9. Tiền chi nộp thuế liên quan đến hoạt động CTCK 
</t>
  </si>
  <si>
    <t xml:space="preserve">II. Lưu chuyển tiền từ hoạt động đầu tư
</t>
  </si>
  <si>
    <t xml:space="preserve">5.Tiền thu về  cổ tức và lợi nhuận được chia từ các khoản đầu tư tài chính dài hạn
</t>
  </si>
  <si>
    <t xml:space="preserve">VI. Tiền và các khoản tương đương tiền cuối kỳ (70 = 50 + 60)
</t>
  </si>
  <si>
    <t>Theo phương pháp trực tiếp</t>
  </si>
  <si>
    <t>Tăng/giảm tiền thuần trong kỳ</t>
  </si>
  <si>
    <t>45</t>
  </si>
  <si>
    <t xml:space="preserve">3. Tiền thu bán chứng khoán ủy thác của khách hàng
</t>
  </si>
  <si>
    <t xml:space="preserve">4.Tiền chi mua chứng khoán ủy thác của khách hàng
</t>
  </si>
  <si>
    <t xml:space="preserve">2. Tiền chi mua chứng khoán môi giới cho khách hàng
</t>
  </si>
  <si>
    <t xml:space="preserve">13. Tiền chi trả Tổ chức phát hành chứng khoán
</t>
  </si>
  <si>
    <t xml:space="preserve">II. Tiền và các khoản tương đương tiền đầu kỳ của khách hàng
</t>
  </si>
  <si>
    <t xml:space="preserve">Tiền gửi ngân hàng đầu kỳ:
</t>
  </si>
  <si>
    <t xml:space="preserve">-Tiền gửi của Nhà đầu tư về giao dịch chứng khoán theo phương thức CTCK quản lý 
</t>
  </si>
  <si>
    <t xml:space="preserve">Trong đó có kỳ hạn
</t>
  </si>
  <si>
    <t xml:space="preserve">-Tiền gửi của tổ chức phát hành
</t>
  </si>
  <si>
    <t>35</t>
  </si>
  <si>
    <t>44</t>
  </si>
  <si>
    <t xml:space="preserve">- Tiền gửi bù trừ và thanh toán giao dịch chứng khoán
</t>
  </si>
  <si>
    <t xml:space="preserve">- Tiền gửi tổng hợp giao dịch chứng khoán cho khách hàng 
</t>
  </si>
  <si>
    <t>34</t>
  </si>
  <si>
    <t>47</t>
  </si>
  <si>
    <t xml:space="preserve">B
</t>
  </si>
  <si>
    <t xml:space="preserve">6. Chi trả vay Quỹ Hỗ trợ thanh toán
</t>
  </si>
  <si>
    <t xml:space="preserve">III. Tiền và các khoản tương đương tiền cuối kỳ của khách hàng (40 = 20 + 30)
</t>
  </si>
  <si>
    <t xml:space="preserve">I. Lưu chuyển tiền hoạt động môi giới, ủy thác của khách hàng
</t>
  </si>
  <si>
    <t xml:space="preserve">7. Nhận tiền gửi để thanh toán giao dịch chứng khoán của khách hàng 
</t>
  </si>
  <si>
    <t>43</t>
  </si>
  <si>
    <t>46</t>
  </si>
  <si>
    <t xml:space="preserve">8. Nhận tiền gửi của Nhà đầu tư cho hoạt động ủy thác đầu tư của khách hàng
</t>
  </si>
  <si>
    <t xml:space="preserve">9. Chi trả phí lưu ký chứng khoán của khách hàng
</t>
  </si>
  <si>
    <t xml:space="preserve">10. Thu lỗi giao dịch chứng khoán
</t>
  </si>
  <si>
    <t xml:space="preserve">12. Tiền thu của Tổ chức phát hành chứng khoán
</t>
  </si>
  <si>
    <t xml:space="preserve">Tiền gửi ngân hàng cuối kỳ:
</t>
  </si>
  <si>
    <t>41</t>
  </si>
  <si>
    <t xml:space="preserve">1. Tiền thu bán chứng khoán môi giới cho khách hàng
</t>
  </si>
  <si>
    <t xml:space="preserve">5. Thu vay Quỹ Hỗ trợ thanh toán
</t>
  </si>
  <si>
    <t xml:space="preserve">11. Chi lỗi giao dịch chứng khoán
</t>
  </si>
  <si>
    <t>36</t>
  </si>
  <si>
    <t>37</t>
  </si>
  <si>
    <t>40</t>
  </si>
  <si>
    <t>42</t>
  </si>
  <si>
    <t>(Theo phương pháp gián tiếp)</t>
  </si>
  <si>
    <t xml:space="preserve">4.2. Tiền chi trả nợ gốc vay tài sản tài chính
</t>
  </si>
  <si>
    <t>38</t>
  </si>
  <si>
    <t>48</t>
  </si>
  <si>
    <t>70</t>
  </si>
  <si>
    <t xml:space="preserve">74.1
</t>
  </si>
  <si>
    <t>90</t>
  </si>
  <si>
    <t>101</t>
  </si>
  <si>
    <t xml:space="preserve">103.1
</t>
  </si>
  <si>
    <t>103</t>
  </si>
  <si>
    <t xml:space="preserve">- Tiền 
</t>
  </si>
  <si>
    <t xml:space="preserve">VI. Tiền và các khoản tương đương tiền cuối kỳ
</t>
  </si>
  <si>
    <t xml:space="preserve">- Lãi, lỗ từ hoạt động đầu tư 
</t>
  </si>
  <si>
    <t xml:space="preserve">-  Tăng (giảm) tài sản tài chính sẵn sàng để bán AFS 
</t>
  </si>
  <si>
    <t>14</t>
  </si>
  <si>
    <t>16</t>
  </si>
  <si>
    <t xml:space="preserve">103.2
</t>
  </si>
  <si>
    <t xml:space="preserve">4. Tiền thu hồi các khoản đầu tư vào công ty con, công ty liên doanh, liên kết và đầu tư khác
</t>
  </si>
  <si>
    <t xml:space="preserve">-  Lãi về ghi nhận chênh lệch đánh giá theo giá trị hợp lý TSTC sẵn sàng để bán (AFS) khi phân loại lại
</t>
  </si>
  <si>
    <t xml:space="preserve">- Lãi khác
</t>
  </si>
  <si>
    <t xml:space="preserve">(-) Thuế TNDN đã nộp 
</t>
  </si>
  <si>
    <t xml:space="preserve">5. Tiền thu về cổ tức và lợi nhuận được chia từ các khoản đầu tư tài chính dài hạn
</t>
  </si>
  <si>
    <t xml:space="preserve">- Các khoản tương đương tiền
</t>
  </si>
  <si>
    <t xml:space="preserve">2. Điều chỉnh cho các khoản: 
</t>
  </si>
  <si>
    <t xml:space="preserve">3. Tăng các chi phí phi tiền tệ
</t>
  </si>
  <si>
    <t xml:space="preserve">- Lỗ đánh giá lại giá trị các tài sản tài chính ghi nhận thông qua lãi/lỗ FVTPL
</t>
  </si>
  <si>
    <t xml:space="preserve">74.3
</t>
  </si>
  <si>
    <t xml:space="preserve">5. Lợi nhuận từ hoạt động kinh doanh trước thay đổi vốn lưu động
</t>
  </si>
  <si>
    <t xml:space="preserve">(-) Tăng, (+) giảm phải thu và dự thu cổ tức, tiền lãi các tài sản tài chính
</t>
  </si>
  <si>
    <t xml:space="preserve">(-) Tăng, (+) giảm các khoản phải thu các dịch vụ CTCK cung cấp
</t>
  </si>
  <si>
    <t xml:space="preserve">(-) Tăng, (+) giảm các khoản phải thu về lỗi giao dịch các TSTC
</t>
  </si>
  <si>
    <t xml:space="preserve">(-) Tăng, (+) giảm các khoản phải thu khác
</t>
  </si>
  <si>
    <t xml:space="preserve">-  Tăng (giảm) thuế và các khoản phải nộp Nhà nước (Không bao gồm thuế TNDN đã nộp)
</t>
  </si>
  <si>
    <t xml:space="preserve">- Tiền thu khác từ hoạt động kinh doanh
</t>
  </si>
  <si>
    <t xml:space="preserve">3. Tiền chi đầu tư vốn vào công ty con, công ty liên doanh, liên kết và đầu tư khác
</t>
  </si>
  <si>
    <t>17</t>
  </si>
  <si>
    <t>39</t>
  </si>
  <si>
    <t>49</t>
  </si>
  <si>
    <t>63</t>
  </si>
  <si>
    <t>71</t>
  </si>
  <si>
    <t xml:space="preserve">- Tăng (giảm) phải trả về lỗi giao dịch các TSTC
</t>
  </si>
  <si>
    <t>102</t>
  </si>
  <si>
    <t xml:space="preserve">-  Tăng (giảm) Các khoản đầu tư nắm giữ đến ngày đáo hạn (HTM)
</t>
  </si>
  <si>
    <t xml:space="preserve">-  Tăng (giảm) Các khoản cho vay 
</t>
  </si>
  <si>
    <t xml:space="preserve">-  Tăng (giảm) các tài sản khác
</t>
  </si>
  <si>
    <t xml:space="preserve">- Các khoản dự phòng
</t>
  </si>
  <si>
    <t xml:space="preserve">- Dự thu tiền lãi 
</t>
  </si>
  <si>
    <t xml:space="preserve">- Lỗ suy giảm giá trị Các khoản cho vay
</t>
  </si>
  <si>
    <t xml:space="preserve">- Lỗ về ghi nhận chênh lệch đánh giá theo giá trị hợp lý TSTC sẵn sàng để bán AFS khi phân loại lại
</t>
  </si>
  <si>
    <t xml:space="preserve">- Suy giảm giá trị của các tài sản cố định, BĐSĐT 
</t>
  </si>
  <si>
    <t xml:space="preserve">-   Lỗ khác
</t>
  </si>
  <si>
    <t xml:space="preserve">4. Giảm các doanh thu phi tiền tệ
</t>
  </si>
  <si>
    <t xml:space="preserve">- Các khoản điều chỉnh khác 
</t>
  </si>
  <si>
    <t xml:space="preserve">- Lỗ suy giảm giá trị Các khoản đầu tư nắm giữ đến ngày đáo hạn (HTM)
</t>
  </si>
  <si>
    <t xml:space="preserve">- Chi phí dự phòng suy giảm giá trị các khoản đầu tư tài chính dài hạn
</t>
  </si>
  <si>
    <t xml:space="preserve">-  Lãi đánh giá lại giá trị các tài sản tài chính ghi nhận thông qua lãi/lỗ FVTPL
</t>
  </si>
  <si>
    <t xml:space="preserve">-  Tăng (giảm) tài sản tài chính ghi nhận thông qua lãi/lỗ FVTPL
</t>
  </si>
  <si>
    <t xml:space="preserve">- Tăng (giảm)  chi phí trả trước
</t>
  </si>
  <si>
    <t xml:space="preserve">-  Tăng (giảm) phải trả cho người bán
</t>
  </si>
  <si>
    <t xml:space="preserve">-  Tăng (giảm) các khoản trích nộp phúc lợi nhân viên
</t>
  </si>
  <si>
    <t xml:space="preserve">74
</t>
  </si>
  <si>
    <t xml:space="preserve">- Tiền chi khác cho hoạt động kinh doanh
</t>
  </si>
  <si>
    <t xml:space="preserve">1. Tiền chi để mua sắm, xây dựng TSCĐ, BĐSĐT và các tài sản khác
</t>
  </si>
  <si>
    <t xml:space="preserve">3. Tiền vay gốc
</t>
  </si>
  <si>
    <t xml:space="preserve">5. Tiền chi trả nợ gốc thuê tài chính
</t>
  </si>
  <si>
    <t>18</t>
  </si>
  <si>
    <t>19</t>
  </si>
  <si>
    <t>52</t>
  </si>
  <si>
    <t>64</t>
  </si>
  <si>
    <t>65</t>
  </si>
  <si>
    <t xml:space="preserve">73.2
</t>
  </si>
  <si>
    <t xml:space="preserve">75
</t>
  </si>
  <si>
    <t xml:space="preserve">1. Lợi nhuận trước Thuế Thu nhập doanh nghiệp
</t>
  </si>
  <si>
    <t xml:space="preserve">- Chi phí lãi vay
</t>
  </si>
  <si>
    <t xml:space="preserve">- Ảnh hưởng của thay đổi tỷ giá hối đoái quy đổi ngoại tệ
</t>
  </si>
  <si>
    <t>104</t>
  </si>
  <si>
    <t>- Ảnh hưởng của thay đổi tỷ giá hối đoái quy đổi ngoại tệ</t>
  </si>
  <si>
    <t>15</t>
  </si>
  <si>
    <t>62</t>
  </si>
  <si>
    <t xml:space="preserve">73.1
</t>
  </si>
  <si>
    <t xml:space="preserve">74.2
</t>
  </si>
  <si>
    <t xml:space="preserve">101.1
</t>
  </si>
  <si>
    <t xml:space="preserve">- Khấu hao TSCĐ
</t>
  </si>
  <si>
    <t xml:space="preserve">(- Lãi) hoặc (+ lỗ) chênh lệch tỷ giá hối đoái chưa thực hiện.
</t>
  </si>
  <si>
    <t xml:space="preserve">(-) Tăng, (+) giảm phải thu bán các tài sản tài chính
</t>
  </si>
  <si>
    <t xml:space="preserve">- Tăng (giảm) chi phí phải trả (không bao gồm chi phí lãi vay)
</t>
  </si>
  <si>
    <t xml:space="preserve">(-) Lãi vay đã trả
</t>
  </si>
  <si>
    <t xml:space="preserve">-  Tăng (giảm) phải trả người lao động
</t>
  </si>
  <si>
    <t xml:space="preserve">-  Tăng (giảm) phải trả, phải nộp khác
</t>
  </si>
  <si>
    <t xml:space="preserve">2. Tiền thu từ thanh lý, nhượng bán TSCĐ, BĐSĐT và các tài sản khác
</t>
  </si>
  <si>
    <t>51</t>
  </si>
  <si>
    <t xml:space="preserve">76
</t>
  </si>
  <si>
    <t xml:space="preserve">101.2
</t>
  </si>
  <si>
    <t xml:space="preserve">2. Tiền chi trả vốn góp cho chủ sở hữu, mua lại cổ phiếu phát hành
</t>
  </si>
  <si>
    <t xml:space="preserve">10. Chi trả cho hoạt động ủy thác đầu tư của khách hàng
</t>
  </si>
  <si>
    <t xml:space="preserve">12. Thu lỗi giao dịch chứng khoán
</t>
  </si>
  <si>
    <t xml:space="preserve">13.Chi lỗi giao dịch chứng khoán
</t>
  </si>
  <si>
    <t xml:space="preserve">- Tiền gửi của Tổ chức phát hành
</t>
  </si>
  <si>
    <t xml:space="preserve">III. Tiền và các khoản tương đương tiền cuối kỳ của khách hàng
</t>
  </si>
  <si>
    <t xml:space="preserve">4. Tiền chi bán chứng khoán ủy thác của khách hàng
</t>
  </si>
  <si>
    <t xml:space="preserve">8. Chi trả thanh toán giao dịch chứng khoán của khách hàng
</t>
  </si>
  <si>
    <t xml:space="preserve">11. Chi trả phí lưu ký chứng khoán của khách hàng 
</t>
  </si>
  <si>
    <t xml:space="preserve">15. Tiền chi trả Tổ chức phát hành chứng khoán
</t>
  </si>
  <si>
    <t xml:space="preserve">-Tiền gửi của Tổ chức phát hành
</t>
  </si>
  <si>
    <t xml:space="preserve">14. Tiền thu của Tổ chức phát hành chứng khoán
</t>
  </si>
  <si>
    <t xml:space="preserve">9. Nhận tiền gửi của Nhà đầu tư cho hoạt động ủy thác đầu tư của khách hàng
</t>
  </si>
  <si>
    <t xml:space="preserve">Tăng/giảm tiền thuần trong kỳ
</t>
  </si>
  <si>
    <t>Giảm</t>
  </si>
  <si>
    <t>Tăng</t>
  </si>
  <si>
    <t>Số dư đầu năm</t>
  </si>
  <si>
    <t>Số dư cuối năm</t>
  </si>
  <si>
    <t>Mã chỉ tiêu</t>
  </si>
  <si>
    <t>Số tăng/giảm</t>
  </si>
  <si>
    <t>N</t>
  </si>
  <si>
    <t>N-1</t>
  </si>
  <si>
    <t xml:space="preserve">26624
</t>
  </si>
  <si>
    <t xml:space="preserve">26630
</t>
  </si>
  <si>
    <t xml:space="preserve">26632
</t>
  </si>
  <si>
    <t xml:space="preserve">26633
</t>
  </si>
  <si>
    <t xml:space="preserve">26638
</t>
  </si>
  <si>
    <t xml:space="preserve">26640
</t>
  </si>
  <si>
    <t xml:space="preserve">26642
</t>
  </si>
  <si>
    <t xml:space="preserve">26644
</t>
  </si>
  <si>
    <t xml:space="preserve">26646
</t>
  </si>
  <si>
    <t xml:space="preserve">8.1. Lợi nhuận sau thuế đã thực hiện
</t>
  </si>
  <si>
    <t xml:space="preserve">2. Lãi, lỗ đánh giá lại TĐ theo mô hình giá trị hợp lý
</t>
  </si>
  <si>
    <t xml:space="preserve">3. Lãi, lỗ chênh lệch tỷ giá của hoạt động tại nước ngoài
</t>
  </si>
  <si>
    <t xml:space="preserve">Tổng cộng
</t>
  </si>
  <si>
    <t xml:space="preserve">1.3. Thặng dư vốn cổ phần 
</t>
  </si>
  <si>
    <t xml:space="preserve">1.4.Quyền chọn chuyển đổi trái phiếu - Cấu phần vốn
</t>
  </si>
  <si>
    <t xml:space="preserve">1.5. Vốn khác của chủ sở hữu 
</t>
  </si>
  <si>
    <t xml:space="preserve">5. Chênh lệch đánh giá lại tài sản theo giá trị hợp lý
</t>
  </si>
  <si>
    <t xml:space="preserve">8. Lợi nhuận chưa phân phối
</t>
  </si>
  <si>
    <t xml:space="preserve">8.2. Lợi nhuận chưa thực hiện 
</t>
  </si>
  <si>
    <t xml:space="preserve">4. Quỹ dự phòng tài chính và rủi ro nghiệp vụ
</t>
  </si>
  <si>
    <t xml:space="preserve">II. Thu nhập toàn diện khác
</t>
  </si>
  <si>
    <t xml:space="preserve">1. Lãi/lỗ từ đánh giá lại các TSTC sẵn sàng để bán
</t>
  </si>
  <si>
    <t xml:space="preserve">7. Các Quỹ khác thuộc vốn chủ sở hữu
</t>
  </si>
  <si>
    <t xml:space="preserve">1.1. Cổ phiếu phổ thông có quyền biểu quyết
</t>
  </si>
  <si>
    <t xml:space="preserve">26634
</t>
  </si>
  <si>
    <t xml:space="preserve">26635
</t>
  </si>
  <si>
    <t xml:space="preserve">26641
</t>
  </si>
  <si>
    <t xml:space="preserve">26645
</t>
  </si>
  <si>
    <t xml:space="preserve">26628
</t>
  </si>
  <si>
    <t xml:space="preserve">26629
</t>
  </si>
  <si>
    <t xml:space="preserve">26631
</t>
  </si>
  <si>
    <t xml:space="preserve">26636
</t>
  </si>
  <si>
    <t xml:space="preserve">26637
</t>
  </si>
  <si>
    <t xml:space="preserve">26639
</t>
  </si>
  <si>
    <t xml:space="preserve">26643
</t>
  </si>
  <si>
    <t xml:space="preserve">1. Vốn đầu tư của chủ sở hữu
</t>
  </si>
  <si>
    <t xml:space="preserve">1.2. Cổ phiếu ưu đãi
</t>
  </si>
  <si>
    <t xml:space="preserve">2. Cổ phiếu quỹ (*)
</t>
  </si>
  <si>
    <t xml:space="preserve">6.Chênh lệch tỷ giá hối đoái
</t>
  </si>
  <si>
    <t xml:space="preserve"> I. Biến động vốn chủ sở hữu
</t>
  </si>
  <si>
    <t xml:space="preserve">4. Lãi, lỗ toàn diện khác
</t>
  </si>
  <si>
    <t xml:space="preserve">3. Quỹ dự trữ bổ sung vốn điều lệ
</t>
  </si>
  <si>
    <t xml:space="preserve">26625
</t>
  </si>
  <si>
    <t xml:space="preserve">26626
</t>
  </si>
  <si>
    <t xml:space="preserve">26627
</t>
  </si>
  <si>
    <t>111.1</t>
  </si>
  <si>
    <t>Tại ngày 31 tháng 12 năm 2022 (1)</t>
  </si>
  <si>
    <t>Quý 4 Năm 2022</t>
  </si>
  <si>
    <t xml:space="preserve">Quý 4 Năm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</si>
</sst>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_);_(* \(#,##0\);_(* &quot;-&quot;??_);_(@_)"/>
  </numFmts>
  <fonts count="2212" x14ac:knownFonts="1">
    <font>
      <sz val="11"/>
      <color theme="1"/>
      <name val="Calibri"/>
      <family val="2"/>
      <scheme val="minor"/>
    </font>
    <font>
      <sz val="10"/>
      <name val="Arial"/>
      <family val="2"/>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sz val="12"/>
      <color theme="1"/>
      <name val="Times New Roman"/>
      <family val="1"/>
    </font>
    <font>
      <sz val="11"/>
      <name val="Times New Roman"/>
      <family val="1"/>
    </font>
    <font>
      <b/>
      <sz val="12"/>
      <color theme="1"/>
      <name val="Times New Roman"/>
      <family val="1"/>
    </font>
    <font>
      <i/>
      <sz val="12"/>
      <color theme="1"/>
      <name val="Times New Roman"/>
      <family val="1"/>
    </font>
    <font>
      <i/>
      <sz val="11"/>
      <name val="Times New Roman"/>
      <family val="1"/>
    </font>
    <font>
      <b/>
      <sz val="11"/>
      <name val="Times New Roman"/>
      <family val="1"/>
    </font>
    <font>
      <b/>
      <u/>
      <sz val="11"/>
      <color theme="1"/>
      <name val="Times New Roman"/>
      <family val="1"/>
    </font>
    <font>
      <sz val="13"/>
      <name val="Times New Roman"/>
      <family val="1"/>
    </font>
    <font>
      <sz val="11"/>
      <color indexed="0"/>
      <name val="Times New Roman"/>
      <family val="1"/>
    </font>
    <font>
      <b/>
      <sz val="11"/>
      <name val="Times New Roman"/>
      <family val="1"/>
    </font>
    <font>
      <b/>
      <sz val="13"/>
      <color indexed="0"/>
      <name val="Times New Roman"/>
      <family val="1"/>
    </font>
    <font>
      <b/>
      <sz val="11"/>
      <color indexed="0"/>
      <name val="Times New Roman"/>
      <family val="1"/>
    </font>
    <font>
      <b/>
      <sz val="11"/>
      <color indexed="0"/>
      <name val="Times New Roman"/>
      <family val="1"/>
    </font>
    <font>
      <sz val="11"/>
      <color indexed="0"/>
      <name val="Times New Roman"/>
      <family val="1"/>
    </font>
    <font>
      <u/>
      <sz val="11"/>
      <color indexed="12"/>
      <name val="Times New Roman"/>
      <family val="1"/>
    </font>
    <font>
      <sz val="11"/>
      <color indexed="0"/>
      <name val="Times New Roman"/>
      <family val="1"/>
    </font>
    <font>
      <u/>
      <sz val="11"/>
      <color indexed="12"/>
      <name val="Times New Roman"/>
      <family val="1"/>
    </font>
    <font>
      <sz val="11"/>
      <color indexed="0"/>
      <name val="Times New Roman"/>
      <family val="1"/>
    </font>
    <font>
      <u/>
      <sz val="11"/>
      <color indexed="12"/>
      <name val="Times New Roman"/>
      <family val="1"/>
    </font>
    <font>
      <sz val="11"/>
      <color indexed="0"/>
      <name val="Times New Roman"/>
      <family val="1"/>
    </font>
    <font>
      <u/>
      <sz val="11"/>
      <color indexed="12"/>
      <name val="Times New Roman"/>
      <family val="1"/>
    </font>
    <font>
      <sz val="11"/>
      <color indexed="0"/>
      <name val="Times New Roman"/>
      <family val="1"/>
    </font>
    <font>
      <u/>
      <sz val="11"/>
      <color indexed="12"/>
      <name val="Times New Roman"/>
      <family val="1"/>
    </font>
    <font>
      <sz val="11"/>
      <color indexed="0"/>
      <name val="Times New Roman"/>
      <family val="1"/>
    </font>
    <font>
      <u/>
      <sz val="11"/>
      <color indexed="12"/>
      <name val="Times New Roman"/>
      <family val="1"/>
    </font>
    <font>
      <sz val="11"/>
      <color indexed="0"/>
      <name val="Times New Roman"/>
      <family val="1"/>
    </font>
    <font>
      <u/>
      <sz val="11"/>
      <color indexed="12"/>
      <name val="Times New Roman"/>
      <family val="1"/>
    </font>
    <font>
      <sz val="11"/>
      <color indexed="0"/>
      <name val="Times New Roman"/>
      <family val="1"/>
    </font>
    <font>
      <u/>
      <sz val="11"/>
      <color indexed="12"/>
      <name val="Times New Roman"/>
      <family val="1"/>
    </font>
    <font>
      <i/>
      <sz val="11"/>
      <color indexed="0"/>
      <name val="Times New Roman"/>
      <family val="1"/>
    </font>
    <font>
      <sz val="13"/>
      <name val="Times New Roman"/>
      <family val="1"/>
    </font>
    <font>
      <b/>
      <sz val="16"/>
      <color indexed="8"/>
      <name val="Times New Roman"/>
      <family val="1"/>
    </font>
    <font>
      <i/>
      <sz val="14"/>
      <color indexed="8"/>
      <name val="Times New Roman"/>
      <family val="1"/>
    </font>
    <font>
      <b/>
      <sz val="14"/>
      <color indexed="9"/>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name val="Times New Roman"/>
      <family val="1"/>
    </font>
    <font>
      <b/>
      <sz val="16"/>
      <color indexed="8"/>
      <name val="Times New Roman"/>
      <family val="1"/>
    </font>
    <font>
      <b/>
      <sz val="14"/>
      <color indexed="9"/>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name val="Times New Roman"/>
      <family val="1"/>
    </font>
    <font>
      <b/>
      <sz val="16"/>
      <color indexed="8"/>
      <name val="Times New Roman"/>
      <family val="1"/>
    </font>
    <font>
      <i/>
      <sz val="14"/>
      <color indexed="8"/>
      <name val="Times New Roman"/>
      <family val="1"/>
    </font>
    <font>
      <b/>
      <sz val="14"/>
      <color indexed="9"/>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name val="Times New Roman"/>
      <family val="1"/>
    </font>
    <font>
      <b/>
      <sz val="16"/>
      <color indexed="8"/>
      <name val="Times New Roman"/>
      <family val="1"/>
    </font>
    <font>
      <i/>
      <sz val="14"/>
      <color indexed="8"/>
      <name val="Times New Roman"/>
      <family val="1"/>
    </font>
    <font>
      <b/>
      <sz val="14"/>
      <color indexed="9"/>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i/>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b/>
      <i/>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name val="Times New Roman"/>
      <family val="1"/>
    </font>
    <font>
      <b/>
      <sz val="16"/>
      <color indexed="8"/>
      <name val="Times New Roman"/>
      <family val="1"/>
    </font>
    <font>
      <i/>
      <sz val="14"/>
      <color indexed="8"/>
      <name val="Times New Roman"/>
      <family val="1"/>
    </font>
    <font>
      <b/>
      <sz val="14"/>
      <color indexed="9"/>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name val="Times New Roman"/>
      <family val="1"/>
    </font>
    <font>
      <b/>
      <sz val="16"/>
      <color indexed="8"/>
      <name val="Times New Roman"/>
      <family val="1"/>
    </font>
    <font>
      <i/>
      <sz val="14"/>
      <color indexed="8"/>
      <name val="Times New Roman"/>
      <family val="1"/>
    </font>
    <font>
      <b/>
      <sz val="14"/>
      <color indexed="9"/>
      <name val="Times New Roman"/>
      <family val="1"/>
    </font>
    <font>
      <sz val="13"/>
      <color indexed="0"/>
      <name val="Times New Roman"/>
      <family val="1"/>
    </font>
    <font>
      <sz val="13"/>
      <color indexed="0"/>
      <name val="Times New Roman"/>
      <family val="1"/>
    </font>
    <font>
      <b/>
      <i/>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i/>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i/>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name val="Times New Roman"/>
      <family val="1"/>
    </font>
    <font>
      <b/>
      <sz val="16"/>
      <color indexed="8"/>
      <name val="Times New Roman"/>
      <family val="1"/>
    </font>
    <font>
      <b/>
      <sz val="14"/>
      <color indexed="9"/>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b/>
      <i/>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4"/>
      <color indexed="9"/>
      <name val="Times New Roman"/>
      <family val="1"/>
    </font>
    <font>
      <i/>
      <sz val="14"/>
      <color indexed="8"/>
      <name val="Times New Roman"/>
      <family val="1"/>
    </font>
    <font>
      <b/>
      <sz val="14"/>
      <color indexed="9"/>
      <name val="Times New Roman"/>
      <family val="1"/>
    </font>
    <font>
      <b/>
      <sz val="16"/>
      <color indexed="8"/>
      <name val="Times New Roman"/>
      <family val="1"/>
    </font>
    <font>
      <i/>
      <sz val="14"/>
      <color indexed="8"/>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b/>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3"/>
      <color indexed="0"/>
      <name val="Times New Roman"/>
      <family val="1"/>
    </font>
    <font>
      <sz val="11"/>
      <color theme="1"/>
      <name val="Calibri"/>
      <family val="2"/>
      <scheme val="minor"/>
    </font>
    <font>
      <b/>
      <sz val="11"/>
      <color theme="1"/>
      <name val="Calibri"/>
      <family val="2"/>
      <scheme val="minor"/>
    </font>
    <font>
      <b/>
      <sz val="13"/>
      <color indexed="0"/>
      <name val="Times New Roman"/>
      <family val="1"/>
    </font>
  </fonts>
  <fills count="7">
    <fill>
      <patternFill patternType="none"/>
    </fill>
    <fill>
      <patternFill patternType="gray125"/>
    </fill>
    <fill>
      <patternFill patternType="solid">
        <fgColor theme="9" tint="0.39997558519241921"/>
        <bgColor indexed="64"/>
      </patternFill>
    </fill>
    <fill>
      <patternFill patternType="none">
        <fgColor indexed="9"/>
        <bgColor indexed="17"/>
      </patternFill>
    </fill>
    <fill>
      <patternFill patternType="solid">
        <fgColor indexed="17"/>
        <bgColor indexed="17"/>
      </patternFill>
    </fill>
    <fill>
      <patternFill patternType="none">
        <fgColor indexed="9"/>
      </patternFill>
    </fill>
    <fill>
      <patternFill patternType="solid">
        <fgColor indexed="9"/>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9">
    <xf numFmtId="0" fontId="0" fillId="0" borderId="0"/>
    <xf numFmtId="0" fontId="1" fillId="0" borderId="0"/>
    <xf numFmtId="43" fontId="1" fillId="0" borderId="0" quotePrefix="1" applyFont="0" applyFill="0" applyBorder="0" applyAlignment="0">
      <protection locked="0"/>
    </xf>
    <xf numFmtId="9"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quotePrefix="1" applyFont="0" applyFill="0" applyBorder="0" applyAlignment="0">
      <protection locked="0"/>
    </xf>
    <xf numFmtId="164" fontId="1" fillId="0" borderId="0" applyFont="0" applyFill="0" applyBorder="0" applyAlignment="0" applyProtection="0"/>
    <xf numFmtId="43" fontId="2209" fillId="0" borderId="0" applyFont="0" applyFill="0" applyBorder="0" applyAlignment="0" applyProtection="0"/>
  </cellStyleXfs>
  <cellXfs count="2229">
    <xf numFmtId="0" fontId="0" fillId="0" borderId="0" xfId="0"/>
    <xf numFmtId="0" fontId="2" fillId="0" borderId="0" xfId="0" applyFont="1"/>
    <xf numFmtId="0" fontId="6" fillId="0" borderId="0" xfId="0" applyFont="1"/>
    <xf numFmtId="0" fontId="5" fillId="0" borderId="0" xfId="1" applyFont="1" applyAlignment="1">
      <alignment horizontal="center"/>
    </xf>
    <xf numFmtId="0" fontId="8" fillId="2" borderId="1" xfId="0" applyFont="1" applyFill="1" applyBorder="1"/>
    <xf numFmtId="0" fontId="8" fillId="2" borderId="1" xfId="0" applyFont="1" applyFill="1" applyBorder="1" applyAlignment="1">
      <alignment horizontal="center"/>
    </xf>
    <xf numFmtId="0" fontId="5" fillId="0" borderId="0" xfId="1" applyFont="1"/>
    <xf numFmtId="0" fontId="4" fillId="0" borderId="0" xfId="0" applyFont="1" applyAlignment="1">
      <alignment vertical="center"/>
    </xf>
    <xf numFmtId="0" fontId="10" fillId="0" borderId="0" xfId="0" applyFont="1" applyAlignment="1">
      <alignment horizontal="center" vertical="center" wrapText="1"/>
    </xf>
    <xf numFmtId="0" fontId="7" fillId="0" borderId="0" xfId="0" applyFont="1"/>
    <xf numFmtId="0" fontId="12" fillId="0" borderId="0" xfId="0" applyFont="1"/>
    <xf numFmtId="0" fontId="11" fillId="0" borderId="0" xfId="0" applyFont="1" applyAlignment="1"/>
    <xf numFmtId="0" fontId="13" fillId="3" borderId="3" xfId="0" applyFont="1" applyFill="1" applyBorder="1" applyAlignment="1">
      <alignment horizontal="left" vertical="top" wrapText="1"/>
    </xf>
    <xf numFmtId="0" fontId="14" fillId="0" borderId="3" xfId="0" applyFont="1" applyBorder="1" applyAlignment="1">
      <alignment horizontal="left" vertical="top"/>
    </xf>
    <xf numFmtId="0" fontId="15" fillId="0" borderId="0" xfId="0" applyFont="1" applyAlignment="1">
      <alignment horizontal="center" vertical="center"/>
    </xf>
    <xf numFmtId="0" fontId="16" fillId="0" borderId="0" xfId="0" applyNumberFormat="1" applyFont="1" applyAlignment="1">
      <alignment horizontal="left" vertical="top" wrapText="1"/>
    </xf>
    <xf numFmtId="0" fontId="17" fillId="0" borderId="0" xfId="0" applyNumberFormat="1" applyFont="1" applyAlignment="1">
      <alignment horizontal="center" vertical="top" wrapText="1"/>
    </xf>
    <xf numFmtId="0" fontId="19" fillId="0" borderId="3" xfId="0" applyFont="1" applyBorder="1" applyAlignment="1">
      <alignment horizontal="center" vertical="top"/>
    </xf>
    <xf numFmtId="0" fontId="20" fillId="0" borderId="3" xfId="0" applyFont="1" applyBorder="1" applyAlignment="1">
      <alignment horizontal="left" vertical="top"/>
    </xf>
    <xf numFmtId="0" fontId="21" fillId="0" borderId="3" xfId="0" applyFont="1" applyBorder="1" applyAlignment="1">
      <alignment horizontal="center" vertical="top"/>
    </xf>
    <xf numFmtId="0" fontId="22" fillId="0" borderId="3" xfId="0" applyFont="1" applyBorder="1" applyAlignment="1">
      <alignment horizontal="left" vertical="top"/>
    </xf>
    <xf numFmtId="0" fontId="23" fillId="0" borderId="3" xfId="0" applyFont="1" applyBorder="1" applyAlignment="1">
      <alignment horizontal="center" vertical="top"/>
    </xf>
    <xf numFmtId="0" fontId="24" fillId="0" borderId="3" xfId="0" applyFont="1" applyBorder="1" applyAlignment="1">
      <alignment horizontal="left" vertical="top"/>
    </xf>
    <xf numFmtId="0" fontId="25" fillId="0" borderId="3" xfId="0" applyFont="1" applyBorder="1" applyAlignment="1">
      <alignment horizontal="center" vertical="top"/>
    </xf>
    <xf numFmtId="0" fontId="26" fillId="0" borderId="3" xfId="0" applyFont="1" applyBorder="1" applyAlignment="1">
      <alignment horizontal="left" vertical="top"/>
    </xf>
    <xf numFmtId="0" fontId="27" fillId="0" borderId="3" xfId="0" applyFont="1" applyBorder="1" applyAlignment="1">
      <alignment horizontal="center" vertical="top"/>
    </xf>
    <xf numFmtId="0" fontId="28" fillId="0" borderId="3" xfId="0" applyFont="1" applyBorder="1" applyAlignment="1">
      <alignment horizontal="left" vertical="top"/>
    </xf>
    <xf numFmtId="0" fontId="29" fillId="0" borderId="3" xfId="0" applyFont="1" applyBorder="1" applyAlignment="1">
      <alignment horizontal="center" vertical="top"/>
    </xf>
    <xf numFmtId="0" fontId="30" fillId="0" borderId="3" xfId="0" applyFont="1" applyBorder="1" applyAlignment="1">
      <alignment horizontal="left" vertical="top"/>
    </xf>
    <xf numFmtId="0" fontId="31" fillId="0" borderId="3" xfId="0" applyFont="1" applyBorder="1" applyAlignment="1">
      <alignment horizontal="center" vertical="top"/>
    </xf>
    <xf numFmtId="0" fontId="32" fillId="0" borderId="3" xfId="0" applyFont="1" applyBorder="1" applyAlignment="1">
      <alignment horizontal="left" vertical="top"/>
    </xf>
    <xf numFmtId="0" fontId="33" fillId="0" borderId="3" xfId="0" applyFont="1" applyBorder="1" applyAlignment="1">
      <alignment horizontal="center" vertical="top"/>
    </xf>
    <xf numFmtId="0" fontId="34" fillId="0" borderId="3" xfId="0" applyFont="1" applyBorder="1" applyAlignment="1">
      <alignment horizontal="left" vertical="top"/>
    </xf>
    <xf numFmtId="0" fontId="35" fillId="0" borderId="0" xfId="0" applyNumberFormat="1" applyFont="1" applyAlignment="1">
      <alignment horizontal="left" vertical="top" wrapText="1"/>
    </xf>
    <xf numFmtId="0" fontId="36" fillId="3" borderId="3" xfId="0" applyFont="1" applyFill="1" applyBorder="1" applyAlignment="1">
      <alignment horizontal="left" vertical="top" wrapText="1"/>
    </xf>
    <xf numFmtId="0" fontId="39" fillId="4" borderId="3" xfId="0" applyFont="1" applyFill="1" applyBorder="1" applyAlignment="1">
      <alignment horizontal="center" vertical="top" wrapText="1"/>
    </xf>
    <xf numFmtId="0" fontId="40" fillId="5" borderId="3" xfId="0" applyFont="1" applyFill="1" applyBorder="1" applyAlignment="1">
      <alignment horizontal="center" vertical="top"/>
    </xf>
    <xf numFmtId="0" fontId="41" fillId="5" borderId="3" xfId="0" applyFont="1" applyFill="1" applyBorder="1" applyAlignment="1">
      <alignment horizontal="center" vertical="top"/>
    </xf>
    <xf numFmtId="0" fontId="42" fillId="5" borderId="3" xfId="0" applyFont="1" applyFill="1" applyBorder="1" applyAlignment="1">
      <alignment horizontal="left" vertical="top" wrapText="1"/>
    </xf>
    <xf numFmtId="0" fontId="43" fillId="5" borderId="3" xfId="0" applyFont="1" applyFill="1" applyBorder="1" applyAlignment="1">
      <alignment horizontal="left" vertical="top" wrapText="1"/>
    </xf>
    <xf numFmtId="0" fontId="44" fillId="5" borderId="3" xfId="0" applyFont="1" applyFill="1" applyBorder="1" applyAlignment="1">
      <alignment horizontal="left" vertical="top" wrapText="1"/>
    </xf>
    <xf numFmtId="0" fontId="45" fillId="5" borderId="3" xfId="0" applyFont="1" applyFill="1" applyBorder="1" applyAlignment="1">
      <alignment horizontal="left" vertical="top" wrapText="1"/>
    </xf>
    <xf numFmtId="0" fontId="46" fillId="5" borderId="3" xfId="0" applyFont="1" applyFill="1" applyBorder="1" applyAlignment="1">
      <alignment horizontal="left" vertical="top" wrapText="1"/>
    </xf>
    <xf numFmtId="0" fontId="47" fillId="5" borderId="3" xfId="0" applyFont="1" applyFill="1" applyBorder="1" applyAlignment="1">
      <alignment horizontal="left" vertical="top" wrapText="1"/>
    </xf>
    <xf numFmtId="0" fontId="48" fillId="5" borderId="3" xfId="0" applyFont="1" applyFill="1" applyBorder="1" applyAlignment="1">
      <alignment horizontal="left" vertical="top" wrapText="1"/>
    </xf>
    <xf numFmtId="0" fontId="49" fillId="5" borderId="3" xfId="0" applyFont="1" applyFill="1" applyBorder="1" applyAlignment="1">
      <alignment horizontal="left" vertical="top" wrapText="1"/>
    </xf>
    <xf numFmtId="0" fontId="50" fillId="5" borderId="3" xfId="0" applyFont="1" applyFill="1" applyBorder="1" applyAlignment="1">
      <alignment horizontal="center" vertical="top"/>
    </xf>
    <xf numFmtId="0" fontId="51" fillId="5" borderId="3" xfId="0" applyFont="1" applyFill="1" applyBorder="1" applyAlignment="1">
      <alignment horizontal="center" vertical="top"/>
    </xf>
    <xf numFmtId="0" fontId="52" fillId="5" borderId="3" xfId="0" applyFont="1" applyFill="1" applyBorder="1" applyAlignment="1">
      <alignment horizontal="left" vertical="top" wrapText="1"/>
    </xf>
    <xf numFmtId="0" fontId="53" fillId="5" borderId="3" xfId="0" applyFont="1" applyFill="1" applyBorder="1" applyAlignment="1">
      <alignment horizontal="left" vertical="top" wrapText="1"/>
    </xf>
    <xf numFmtId="0" fontId="54" fillId="5" borderId="3" xfId="0" applyFont="1" applyFill="1" applyBorder="1" applyAlignment="1">
      <alignment horizontal="left" vertical="top" wrapText="1"/>
    </xf>
    <xf numFmtId="0" fontId="55" fillId="5" borderId="3" xfId="0" applyFont="1" applyFill="1" applyBorder="1" applyAlignment="1">
      <alignment horizontal="left" vertical="top" wrapText="1"/>
    </xf>
    <xf numFmtId="0" fontId="56" fillId="5" borderId="3" xfId="0" applyFont="1" applyFill="1" applyBorder="1" applyAlignment="1">
      <alignment horizontal="left" vertical="top" wrapText="1"/>
    </xf>
    <xf numFmtId="0" fontId="57" fillId="5" borderId="3" xfId="0" applyFont="1" applyFill="1" applyBorder="1" applyAlignment="1">
      <alignment horizontal="center" vertical="top"/>
    </xf>
    <xf numFmtId="0" fontId="58" fillId="5" borderId="3" xfId="0" applyFont="1" applyFill="1" applyBorder="1" applyAlignment="1">
      <alignment horizontal="center" vertical="top"/>
    </xf>
    <xf numFmtId="0" fontId="59" fillId="5" borderId="3" xfId="0" applyFont="1" applyFill="1" applyBorder="1" applyAlignment="1">
      <alignment horizontal="center" vertical="top"/>
    </xf>
    <xf numFmtId="0" fontId="60" fillId="5" borderId="3" xfId="0" applyFont="1" applyFill="1" applyBorder="1" applyAlignment="1">
      <alignment horizontal="center" vertical="top"/>
    </xf>
    <xf numFmtId="0" fontId="61" fillId="5" borderId="3" xfId="0" applyFont="1" applyFill="1" applyBorder="1" applyAlignment="1">
      <alignment horizontal="center" vertical="top"/>
    </xf>
    <xf numFmtId="0" fontId="62" fillId="5" borderId="3" xfId="0" applyFont="1" applyFill="1" applyBorder="1" applyAlignment="1">
      <alignment horizontal="center" vertical="top"/>
    </xf>
    <xf numFmtId="0" fontId="63" fillId="5" borderId="3" xfId="0" applyFont="1" applyFill="1" applyBorder="1" applyAlignment="1">
      <alignment horizontal="center" vertical="top"/>
    </xf>
    <xf numFmtId="0" fontId="64" fillId="5" borderId="3" xfId="0" applyFont="1" applyFill="1" applyBorder="1" applyAlignment="1">
      <alignment horizontal="center" vertical="top"/>
    </xf>
    <xf numFmtId="0" fontId="65" fillId="5" borderId="3" xfId="0" applyFont="1" applyFill="1" applyBorder="1" applyAlignment="1">
      <alignment horizontal="center" vertical="top"/>
    </xf>
    <xf numFmtId="0" fontId="66" fillId="5" borderId="3" xfId="0" applyFont="1" applyFill="1" applyBorder="1" applyAlignment="1">
      <alignment horizontal="center" vertical="top"/>
    </xf>
    <xf numFmtId="0" fontId="67" fillId="5" borderId="3" xfId="0" applyFont="1" applyFill="1" applyBorder="1" applyAlignment="1">
      <alignment horizontal="center" vertical="top"/>
    </xf>
    <xf numFmtId="0" fontId="68" fillId="5" borderId="3" xfId="0" applyFont="1" applyFill="1" applyBorder="1" applyAlignment="1">
      <alignment horizontal="center" vertical="top"/>
    </xf>
    <xf numFmtId="0" fontId="69" fillId="5" borderId="3" xfId="0" applyFont="1" applyFill="1" applyBorder="1" applyAlignment="1">
      <alignment horizontal="center" vertical="top"/>
    </xf>
    <xf numFmtId="0" fontId="70" fillId="5" borderId="3" xfId="0" applyFont="1" applyFill="1" applyBorder="1" applyAlignment="1">
      <alignment horizontal="left" vertical="top" wrapText="1"/>
    </xf>
    <xf numFmtId="0" fontId="71" fillId="5" borderId="3" xfId="0" applyFont="1" applyFill="1" applyBorder="1" applyAlignment="1">
      <alignment horizontal="left" vertical="top" wrapText="1"/>
    </xf>
    <xf numFmtId="0" fontId="72" fillId="5" borderId="3" xfId="0" applyFont="1" applyFill="1" applyBorder="1" applyAlignment="1">
      <alignment horizontal="left" vertical="top" wrapText="1"/>
    </xf>
    <xf numFmtId="0" fontId="73" fillId="5" borderId="3" xfId="0" applyFont="1" applyFill="1" applyBorder="1" applyAlignment="1">
      <alignment horizontal="left" vertical="top" wrapText="1"/>
    </xf>
    <xf numFmtId="0" fontId="74" fillId="5" borderId="3" xfId="0" applyFont="1" applyFill="1" applyBorder="1" applyAlignment="1">
      <alignment horizontal="center" vertical="top"/>
    </xf>
    <xf numFmtId="0" fontId="75" fillId="5" borderId="3" xfId="0" applyFont="1" applyFill="1" applyBorder="1" applyAlignment="1">
      <alignment horizontal="center" vertical="top"/>
    </xf>
    <xf numFmtId="0" fontId="76" fillId="5" borderId="3" xfId="0" applyFont="1" applyFill="1" applyBorder="1" applyAlignment="1">
      <alignment horizontal="center" vertical="top"/>
    </xf>
    <xf numFmtId="0" fontId="77" fillId="5" borderId="3" xfId="0" applyFont="1" applyFill="1" applyBorder="1" applyAlignment="1">
      <alignment horizontal="center" vertical="top"/>
    </xf>
    <xf numFmtId="0" fontId="78" fillId="5" borderId="3" xfId="0" applyFont="1" applyFill="1" applyBorder="1" applyAlignment="1">
      <alignment horizontal="center" vertical="top"/>
    </xf>
    <xf numFmtId="0" fontId="79" fillId="5" borderId="3" xfId="0" applyFont="1" applyFill="1" applyBorder="1" applyAlignment="1">
      <alignment horizontal="left" vertical="top" wrapText="1"/>
    </xf>
    <xf numFmtId="0" fontId="80" fillId="5" borderId="3" xfId="0" applyFont="1" applyFill="1" applyBorder="1" applyAlignment="1">
      <alignment horizontal="center" vertical="top"/>
    </xf>
    <xf numFmtId="0" fontId="81" fillId="5" borderId="3" xfId="0" applyFont="1" applyFill="1" applyBorder="1" applyAlignment="1">
      <alignment horizontal="center" vertical="top"/>
    </xf>
    <xf numFmtId="0" fontId="82" fillId="5" borderId="3" xfId="0" applyFont="1" applyFill="1" applyBorder="1" applyAlignment="1">
      <alignment horizontal="center" vertical="top"/>
    </xf>
    <xf numFmtId="0" fontId="83" fillId="5" borderId="3" xfId="0" applyFont="1" applyFill="1" applyBorder="1" applyAlignment="1">
      <alignment horizontal="center" vertical="top"/>
    </xf>
    <xf numFmtId="0" fontId="84" fillId="5" borderId="3" xfId="0" applyFont="1" applyFill="1" applyBorder="1" applyAlignment="1">
      <alignment horizontal="center" vertical="top"/>
    </xf>
    <xf numFmtId="0" fontId="85" fillId="5" borderId="3" xfId="0" applyFont="1" applyFill="1" applyBorder="1" applyAlignment="1">
      <alignment horizontal="center" vertical="top"/>
    </xf>
    <xf numFmtId="0" fontId="86" fillId="5" borderId="3" xfId="0" applyFont="1" applyFill="1" applyBorder="1" applyAlignment="1">
      <alignment horizontal="center" vertical="top"/>
    </xf>
    <xf numFmtId="0" fontId="87" fillId="5" borderId="3" xfId="0" applyFont="1" applyFill="1" applyBorder="1" applyAlignment="1">
      <alignment horizontal="center" vertical="top"/>
    </xf>
    <xf numFmtId="0" fontId="88" fillId="5" borderId="3" xfId="0" applyFont="1" applyFill="1" applyBorder="1" applyAlignment="1">
      <alignment horizontal="center" vertical="top"/>
    </xf>
    <xf numFmtId="0" fontId="89" fillId="5" borderId="3" xfId="0" applyFont="1" applyFill="1" applyBorder="1" applyAlignment="1">
      <alignment horizontal="center" vertical="top"/>
    </xf>
    <xf numFmtId="0" fontId="90" fillId="5" borderId="3" xfId="0" applyFont="1" applyFill="1" applyBorder="1" applyAlignment="1">
      <alignment horizontal="center" vertical="top"/>
    </xf>
    <xf numFmtId="0" fontId="91" fillId="5" borderId="3" xfId="0" applyFont="1" applyFill="1" applyBorder="1" applyAlignment="1">
      <alignment horizontal="center" vertical="top"/>
    </xf>
    <xf numFmtId="0" fontId="92" fillId="5" borderId="3" xfId="0" applyFont="1" applyFill="1" applyBorder="1" applyAlignment="1">
      <alignment horizontal="center" vertical="top"/>
    </xf>
    <xf numFmtId="0" fontId="93" fillId="5" borderId="3" xfId="0" applyFont="1" applyFill="1" applyBorder="1" applyAlignment="1">
      <alignment horizontal="center" vertical="top"/>
    </xf>
    <xf numFmtId="0" fontId="94" fillId="5" borderId="3" xfId="0" applyFont="1" applyFill="1" applyBorder="1" applyAlignment="1">
      <alignment horizontal="center" vertical="top"/>
    </xf>
    <xf numFmtId="0" fontId="95" fillId="5" borderId="3" xfId="0" applyFont="1" applyFill="1" applyBorder="1" applyAlignment="1">
      <alignment horizontal="center" vertical="top"/>
    </xf>
    <xf numFmtId="0" fontId="96" fillId="5" borderId="3" xfId="0" applyFont="1" applyFill="1" applyBorder="1" applyAlignment="1">
      <alignment horizontal="left" vertical="top" wrapText="1"/>
    </xf>
    <xf numFmtId="0" fontId="97" fillId="5" borderId="3" xfId="0" applyFont="1" applyFill="1" applyBorder="1" applyAlignment="1">
      <alignment horizontal="center" vertical="top"/>
    </xf>
    <xf numFmtId="0" fontId="98" fillId="5" borderId="3" xfId="0" applyFont="1" applyFill="1" applyBorder="1" applyAlignment="1">
      <alignment horizontal="center" vertical="top"/>
    </xf>
    <xf numFmtId="0" fontId="99" fillId="5" borderId="3" xfId="0" applyFont="1" applyFill="1" applyBorder="1" applyAlignment="1">
      <alignment horizontal="center" vertical="top"/>
    </xf>
    <xf numFmtId="0" fontId="100" fillId="5" borderId="3" xfId="0" applyFont="1" applyFill="1" applyBorder="1" applyAlignment="1">
      <alignment horizontal="center" vertical="top"/>
    </xf>
    <xf numFmtId="0" fontId="101" fillId="5" borderId="3" xfId="0" applyFont="1" applyFill="1" applyBorder="1" applyAlignment="1">
      <alignment horizontal="center" vertical="top"/>
    </xf>
    <xf numFmtId="0" fontId="102" fillId="5" borderId="3" xfId="0" applyFont="1" applyFill="1" applyBorder="1" applyAlignment="1">
      <alignment horizontal="center" vertical="top"/>
    </xf>
    <xf numFmtId="0" fontId="103" fillId="5" borderId="3" xfId="0" applyFont="1" applyFill="1" applyBorder="1" applyAlignment="1">
      <alignment horizontal="left" vertical="top" wrapText="1"/>
    </xf>
    <xf numFmtId="0" fontId="104" fillId="5" borderId="3" xfId="0" applyFont="1" applyFill="1" applyBorder="1" applyAlignment="1">
      <alignment horizontal="left" vertical="top" wrapText="1"/>
    </xf>
    <xf numFmtId="0" fontId="105" fillId="5" borderId="3" xfId="0" applyFont="1" applyFill="1" applyBorder="1" applyAlignment="1">
      <alignment horizontal="left" vertical="top" wrapText="1"/>
    </xf>
    <xf numFmtId="0" fontId="106" fillId="5" borderId="3" xfId="0" applyFont="1" applyFill="1" applyBorder="1" applyAlignment="1">
      <alignment horizontal="left" vertical="top" wrapText="1"/>
    </xf>
    <xf numFmtId="0" fontId="107" fillId="5" borderId="3" xfId="0" applyFont="1" applyFill="1" applyBorder="1" applyAlignment="1">
      <alignment horizontal="left" vertical="top" wrapText="1"/>
    </xf>
    <xf numFmtId="0" fontId="108" fillId="5" borderId="3" xfId="0" applyFont="1" applyFill="1" applyBorder="1" applyAlignment="1">
      <alignment horizontal="left" vertical="top" wrapText="1"/>
    </xf>
    <xf numFmtId="0" fontId="109" fillId="5" borderId="3" xfId="0" applyFont="1" applyFill="1" applyBorder="1" applyAlignment="1">
      <alignment horizontal="left" vertical="top" wrapText="1"/>
    </xf>
    <xf numFmtId="0" fontId="110" fillId="5" borderId="3" xfId="0" applyFont="1" applyFill="1" applyBorder="1" applyAlignment="1">
      <alignment horizontal="left" vertical="top" wrapText="1"/>
    </xf>
    <xf numFmtId="0" fontId="111" fillId="5" borderId="3" xfId="0" applyFont="1" applyFill="1" applyBorder="1" applyAlignment="1">
      <alignment horizontal="left" vertical="top" wrapText="1"/>
    </xf>
    <xf numFmtId="0" fontId="112" fillId="5" borderId="3" xfId="0" applyFont="1" applyFill="1" applyBorder="1" applyAlignment="1">
      <alignment horizontal="left" vertical="top" wrapText="1"/>
    </xf>
    <xf numFmtId="0" fontId="113" fillId="5" borderId="3" xfId="0" applyFont="1" applyFill="1" applyBorder="1" applyAlignment="1">
      <alignment horizontal="left" vertical="top" wrapText="1"/>
    </xf>
    <xf numFmtId="0" fontId="114" fillId="5" borderId="3" xfId="0" applyFont="1" applyFill="1" applyBorder="1" applyAlignment="1">
      <alignment horizontal="center" vertical="top"/>
    </xf>
    <xf numFmtId="0" fontId="115" fillId="5" borderId="3" xfId="0" applyFont="1" applyFill="1" applyBorder="1" applyAlignment="1">
      <alignment horizontal="center" vertical="top"/>
    </xf>
    <xf numFmtId="0" fontId="116" fillId="5" borderId="3" xfId="0" applyFont="1" applyFill="1" applyBorder="1" applyAlignment="1">
      <alignment horizontal="center" vertical="top"/>
    </xf>
    <xf numFmtId="0" fontId="117" fillId="5" borderId="3" xfId="0" applyFont="1" applyFill="1" applyBorder="1" applyAlignment="1">
      <alignment horizontal="center" vertical="top"/>
    </xf>
    <xf numFmtId="0" fontId="118" fillId="5" borderId="3" xfId="0" applyFont="1" applyFill="1" applyBorder="1" applyAlignment="1">
      <alignment horizontal="center" vertical="top"/>
    </xf>
    <xf numFmtId="0" fontId="119" fillId="5" borderId="3" xfId="0" applyFont="1" applyFill="1" applyBorder="1" applyAlignment="1">
      <alignment horizontal="center" vertical="top"/>
    </xf>
    <xf numFmtId="0" fontId="120" fillId="5" borderId="3" xfId="0" applyFont="1" applyFill="1" applyBorder="1" applyAlignment="1">
      <alignment horizontal="center" vertical="top"/>
    </xf>
    <xf numFmtId="0" fontId="121" fillId="5" borderId="3" xfId="0" applyFont="1" applyFill="1" applyBorder="1" applyAlignment="1">
      <alignment horizontal="center" vertical="top"/>
    </xf>
    <xf numFmtId="0" fontId="122" fillId="5" borderId="3" xfId="0" applyFont="1" applyFill="1" applyBorder="1" applyAlignment="1">
      <alignment horizontal="center" vertical="top"/>
    </xf>
    <xf numFmtId="0" fontId="123" fillId="5" borderId="3" xfId="0" applyFont="1" applyFill="1" applyBorder="1" applyAlignment="1">
      <alignment horizontal="center" vertical="top"/>
    </xf>
    <xf numFmtId="0" fontId="124" fillId="5" borderId="3" xfId="0" applyFont="1" applyFill="1" applyBorder="1" applyAlignment="1">
      <alignment horizontal="center" vertical="top"/>
    </xf>
    <xf numFmtId="0" fontId="125" fillId="5" borderId="3" xfId="0" applyFont="1" applyFill="1" applyBorder="1" applyAlignment="1">
      <alignment horizontal="center" vertical="top"/>
    </xf>
    <xf numFmtId="0" fontId="126" fillId="5" borderId="3" xfId="0" applyFont="1" applyFill="1" applyBorder="1" applyAlignment="1">
      <alignment horizontal="center" vertical="top"/>
    </xf>
    <xf numFmtId="0" fontId="127" fillId="5" borderId="3" xfId="0" applyFont="1" applyFill="1" applyBorder="1" applyAlignment="1">
      <alignment horizontal="left" vertical="top" wrapText="1"/>
    </xf>
    <xf numFmtId="0" fontId="128" fillId="5" borderId="3" xfId="0" applyFont="1" applyFill="1" applyBorder="1" applyAlignment="1">
      <alignment horizontal="left" vertical="top" wrapText="1"/>
    </xf>
    <xf numFmtId="0" fontId="129" fillId="5" borderId="3" xfId="0" applyFont="1" applyFill="1" applyBorder="1" applyAlignment="1">
      <alignment horizontal="left" vertical="top" wrapText="1"/>
    </xf>
    <xf numFmtId="0" fontId="130" fillId="5" borderId="3" xfId="0" applyFont="1" applyFill="1" applyBorder="1" applyAlignment="1">
      <alignment horizontal="left" vertical="top" wrapText="1"/>
    </xf>
    <xf numFmtId="0" fontId="131" fillId="5" borderId="3" xfId="0" applyFont="1" applyFill="1" applyBorder="1" applyAlignment="1">
      <alignment horizontal="center" vertical="top"/>
    </xf>
    <xf numFmtId="0" fontId="132" fillId="5" borderId="3" xfId="0" applyFont="1" applyFill="1" applyBorder="1" applyAlignment="1">
      <alignment horizontal="center" vertical="top"/>
    </xf>
    <xf numFmtId="0" fontId="133" fillId="5" borderId="3" xfId="0" applyFont="1" applyFill="1" applyBorder="1" applyAlignment="1">
      <alignment horizontal="center" vertical="top"/>
    </xf>
    <xf numFmtId="0" fontId="134" fillId="5" borderId="3" xfId="0" applyFont="1" applyFill="1" applyBorder="1" applyAlignment="1">
      <alignment horizontal="left" vertical="top" wrapText="1"/>
    </xf>
    <xf numFmtId="0" fontId="135" fillId="5" borderId="3" xfId="0" applyFont="1" applyFill="1" applyBorder="1" applyAlignment="1">
      <alignment horizontal="left" vertical="top" wrapText="1"/>
    </xf>
    <xf numFmtId="0" fontId="136" fillId="5" borderId="3" xfId="0" applyFont="1" applyFill="1" applyBorder="1" applyAlignment="1">
      <alignment horizontal="left" vertical="top" wrapText="1"/>
    </xf>
    <xf numFmtId="0" fontId="137" fillId="5" borderId="3" xfId="0" applyFont="1" applyFill="1" applyBorder="1" applyAlignment="1">
      <alignment horizontal="left" vertical="top" wrapText="1"/>
    </xf>
    <xf numFmtId="0" fontId="138" fillId="5" borderId="3" xfId="0" applyFont="1" applyFill="1" applyBorder="1" applyAlignment="1">
      <alignment horizontal="left" vertical="top" wrapText="1"/>
    </xf>
    <xf numFmtId="0" fontId="139" fillId="5" borderId="3" xfId="0" applyFont="1" applyFill="1" applyBorder="1" applyAlignment="1">
      <alignment horizontal="left" vertical="top" wrapText="1"/>
    </xf>
    <xf numFmtId="0" fontId="140" fillId="5" borderId="3" xfId="0" applyFont="1" applyFill="1" applyBorder="1" applyAlignment="1">
      <alignment horizontal="left" vertical="top" wrapText="1"/>
    </xf>
    <xf numFmtId="0" fontId="141" fillId="5" borderId="3" xfId="0" applyFont="1" applyFill="1" applyBorder="1" applyAlignment="1">
      <alignment horizontal="left" vertical="top" wrapText="1"/>
    </xf>
    <xf numFmtId="0" fontId="142" fillId="5" borderId="3" xfId="0" applyFont="1" applyFill="1" applyBorder="1" applyAlignment="1">
      <alignment horizontal="left" vertical="top" wrapText="1"/>
    </xf>
    <xf numFmtId="0" fontId="143" fillId="5" borderId="3" xfId="0" applyFont="1" applyFill="1" applyBorder="1" applyAlignment="1">
      <alignment horizontal="left" vertical="top" wrapText="1"/>
    </xf>
    <xf numFmtId="0" fontId="144" fillId="5" borderId="3" xfId="0" applyFont="1" applyFill="1" applyBorder="1" applyAlignment="1">
      <alignment horizontal="left" vertical="top" wrapText="1"/>
    </xf>
    <xf numFmtId="0" fontId="145" fillId="5" borderId="3" xfId="0" applyFont="1" applyFill="1" applyBorder="1" applyAlignment="1">
      <alignment horizontal="left" vertical="top" wrapText="1"/>
    </xf>
    <xf numFmtId="0" fontId="146" fillId="5" borderId="3" xfId="0" applyFont="1" applyFill="1" applyBorder="1" applyAlignment="1">
      <alignment horizontal="left" vertical="top" wrapText="1"/>
    </xf>
    <xf numFmtId="0" fontId="147" fillId="5" borderId="3" xfId="0" applyFont="1" applyFill="1" applyBorder="1" applyAlignment="1">
      <alignment horizontal="left" vertical="top" wrapText="1"/>
    </xf>
    <xf numFmtId="0" fontId="148" fillId="5" borderId="3" xfId="0" applyFont="1" applyFill="1" applyBorder="1" applyAlignment="1">
      <alignment horizontal="left" vertical="top" wrapText="1"/>
    </xf>
    <xf numFmtId="0" fontId="149" fillId="5" borderId="3" xfId="0" applyFont="1" applyFill="1" applyBorder="1" applyAlignment="1">
      <alignment horizontal="left" vertical="top" wrapText="1"/>
    </xf>
    <xf numFmtId="0" fontId="150" fillId="5" borderId="3" xfId="0" applyFont="1" applyFill="1" applyBorder="1" applyAlignment="1">
      <alignment horizontal="left" vertical="top" wrapText="1"/>
    </xf>
    <xf numFmtId="0" fontId="151" fillId="5" borderId="3" xfId="0" applyFont="1" applyFill="1" applyBorder="1" applyAlignment="1">
      <alignment horizontal="left" vertical="top" wrapText="1"/>
    </xf>
    <xf numFmtId="0" fontId="152" fillId="5" borderId="3" xfId="0" applyFont="1" applyFill="1" applyBorder="1" applyAlignment="1">
      <alignment horizontal="left" vertical="top" wrapText="1"/>
    </xf>
    <xf numFmtId="0" fontId="153" fillId="5" borderId="3" xfId="0" applyFont="1" applyFill="1" applyBorder="1" applyAlignment="1">
      <alignment horizontal="left" vertical="top" wrapText="1"/>
    </xf>
    <xf numFmtId="0" fontId="154" fillId="5" borderId="3" xfId="0" applyFont="1" applyFill="1" applyBorder="1" applyAlignment="1">
      <alignment horizontal="left" vertical="top" wrapText="1"/>
    </xf>
    <xf numFmtId="0" fontId="155" fillId="5" borderId="3" xfId="0" applyFont="1" applyFill="1" applyBorder="1" applyAlignment="1">
      <alignment horizontal="left" vertical="top" wrapText="1"/>
    </xf>
    <xf numFmtId="0" fontId="156" fillId="5" borderId="3" xfId="0" applyFont="1" applyFill="1" applyBorder="1" applyAlignment="1">
      <alignment horizontal="left" vertical="top" wrapText="1"/>
    </xf>
    <xf numFmtId="0" fontId="157" fillId="5" borderId="3" xfId="0" applyFont="1" applyFill="1" applyBorder="1" applyAlignment="1">
      <alignment horizontal="left" vertical="top" wrapText="1"/>
    </xf>
    <xf numFmtId="0" fontId="158" fillId="5" borderId="3" xfId="0" applyFont="1" applyFill="1" applyBorder="1" applyAlignment="1">
      <alignment horizontal="left" vertical="top" wrapText="1"/>
    </xf>
    <xf numFmtId="0" fontId="159" fillId="5" borderId="3" xfId="0" applyFont="1" applyFill="1" applyBorder="1" applyAlignment="1">
      <alignment horizontal="left" vertical="top" wrapText="1"/>
    </xf>
    <xf numFmtId="0" fontId="160" fillId="5" borderId="3" xfId="0" applyFont="1" applyFill="1" applyBorder="1" applyAlignment="1">
      <alignment horizontal="left" vertical="top" wrapText="1"/>
    </xf>
    <xf numFmtId="0" fontId="161" fillId="5" borderId="3" xfId="0" applyFont="1" applyFill="1" applyBorder="1" applyAlignment="1">
      <alignment horizontal="left" vertical="top" wrapText="1"/>
    </xf>
    <xf numFmtId="0" fontId="162" fillId="5" borderId="3" xfId="0" applyFont="1" applyFill="1" applyBorder="1" applyAlignment="1">
      <alignment horizontal="left" vertical="top" wrapText="1"/>
    </xf>
    <xf numFmtId="0" fontId="163" fillId="5" borderId="3" xfId="0" applyFont="1" applyFill="1" applyBorder="1" applyAlignment="1">
      <alignment horizontal="left" vertical="top" wrapText="1"/>
    </xf>
    <xf numFmtId="0" fontId="164" fillId="5" borderId="3" xfId="0" applyFont="1" applyFill="1" applyBorder="1" applyAlignment="1">
      <alignment horizontal="left" vertical="top" wrapText="1"/>
    </xf>
    <xf numFmtId="0" fontId="165" fillId="5" borderId="3" xfId="0" applyFont="1" applyFill="1" applyBorder="1" applyAlignment="1">
      <alignment horizontal="left" vertical="top" wrapText="1"/>
    </xf>
    <xf numFmtId="0" fontId="166" fillId="5" borderId="3" xfId="0" applyFont="1" applyFill="1" applyBorder="1" applyAlignment="1">
      <alignment horizontal="left" vertical="top" wrapText="1"/>
    </xf>
    <xf numFmtId="0" fontId="167" fillId="5" borderId="3" xfId="0" applyFont="1" applyFill="1" applyBorder="1" applyAlignment="1">
      <alignment horizontal="left" vertical="top" wrapText="1"/>
    </xf>
    <xf numFmtId="0" fontId="168" fillId="5" borderId="3" xfId="0" applyFont="1" applyFill="1" applyBorder="1" applyAlignment="1">
      <alignment horizontal="left" vertical="top" wrapText="1"/>
    </xf>
    <xf numFmtId="0" fontId="169" fillId="5" borderId="3" xfId="0" applyFont="1" applyFill="1" applyBorder="1" applyAlignment="1">
      <alignment horizontal="left" vertical="top" wrapText="1"/>
    </xf>
    <xf numFmtId="0" fontId="170" fillId="5" borderId="3" xfId="0" applyFont="1" applyFill="1" applyBorder="1" applyAlignment="1">
      <alignment horizontal="left" vertical="top" wrapText="1"/>
    </xf>
    <xf numFmtId="0" fontId="171" fillId="5" borderId="3" xfId="0" applyFont="1" applyFill="1" applyBorder="1" applyAlignment="1">
      <alignment horizontal="left" vertical="top" wrapText="1"/>
    </xf>
    <xf numFmtId="0" fontId="172" fillId="5" borderId="3" xfId="0" applyFont="1" applyFill="1" applyBorder="1" applyAlignment="1">
      <alignment horizontal="left" vertical="top" wrapText="1"/>
    </xf>
    <xf numFmtId="0" fontId="173" fillId="5" borderId="3" xfId="0" applyFont="1" applyFill="1" applyBorder="1" applyAlignment="1">
      <alignment horizontal="left" vertical="top" wrapText="1"/>
    </xf>
    <xf numFmtId="0" fontId="174" fillId="5" borderId="3" xfId="0" applyFont="1" applyFill="1" applyBorder="1" applyAlignment="1">
      <alignment horizontal="left" vertical="top" wrapText="1"/>
    </xf>
    <xf numFmtId="0" fontId="175" fillId="5" borderId="3" xfId="0" applyFont="1" applyFill="1" applyBorder="1" applyAlignment="1">
      <alignment horizontal="left" vertical="top" wrapText="1"/>
    </xf>
    <xf numFmtId="0" fontId="176" fillId="5" borderId="3" xfId="0" applyFont="1" applyFill="1" applyBorder="1" applyAlignment="1">
      <alignment horizontal="left" vertical="top" wrapText="1"/>
    </xf>
    <xf numFmtId="0" fontId="177" fillId="5" borderId="3" xfId="0" applyFont="1" applyFill="1" applyBorder="1" applyAlignment="1">
      <alignment horizontal="left" vertical="top" wrapText="1"/>
    </xf>
    <xf numFmtId="0" fontId="178" fillId="5" borderId="3" xfId="0" applyFont="1" applyFill="1" applyBorder="1" applyAlignment="1">
      <alignment horizontal="left" vertical="top" wrapText="1"/>
    </xf>
    <xf numFmtId="0" fontId="179" fillId="5" borderId="3" xfId="0" applyFont="1" applyFill="1" applyBorder="1" applyAlignment="1">
      <alignment horizontal="left" vertical="top" wrapText="1"/>
    </xf>
    <xf numFmtId="0" fontId="180" fillId="5" borderId="3" xfId="0" applyFont="1" applyFill="1" applyBorder="1" applyAlignment="1">
      <alignment horizontal="left" vertical="top" wrapText="1"/>
    </xf>
    <xf numFmtId="0" fontId="181" fillId="5" borderId="3" xfId="0" applyFont="1" applyFill="1" applyBorder="1" applyAlignment="1">
      <alignment horizontal="left" vertical="top" wrapText="1"/>
    </xf>
    <xf numFmtId="0" fontId="182" fillId="5" borderId="3" xfId="0" applyFont="1" applyFill="1" applyBorder="1" applyAlignment="1">
      <alignment horizontal="left" vertical="top" wrapText="1"/>
    </xf>
    <xf numFmtId="0" fontId="183" fillId="5" borderId="3" xfId="0" applyFont="1" applyFill="1" applyBorder="1" applyAlignment="1">
      <alignment horizontal="left" vertical="top" wrapText="1"/>
    </xf>
    <xf numFmtId="0" fontId="184" fillId="5" borderId="3" xfId="0" applyFont="1" applyFill="1" applyBorder="1" applyAlignment="1">
      <alignment horizontal="left" vertical="top" wrapText="1"/>
    </xf>
    <xf numFmtId="0" fontId="185" fillId="5" borderId="3" xfId="0" applyFont="1" applyFill="1" applyBorder="1" applyAlignment="1">
      <alignment horizontal="left" vertical="top" wrapText="1"/>
    </xf>
    <xf numFmtId="0" fontId="186" fillId="5" borderId="3" xfId="0" applyFont="1" applyFill="1" applyBorder="1" applyAlignment="1">
      <alignment horizontal="left" vertical="top" wrapText="1"/>
    </xf>
    <xf numFmtId="0" fontId="187" fillId="5" borderId="3" xfId="0" applyFont="1" applyFill="1" applyBorder="1" applyAlignment="1">
      <alignment horizontal="left" vertical="top" wrapText="1"/>
    </xf>
    <xf numFmtId="0" fontId="188" fillId="5" borderId="3" xfId="0" applyFont="1" applyFill="1" applyBorder="1" applyAlignment="1">
      <alignment horizontal="center" vertical="top"/>
    </xf>
    <xf numFmtId="0" fontId="189" fillId="5" borderId="3" xfId="0" applyFont="1" applyFill="1" applyBorder="1" applyAlignment="1">
      <alignment horizontal="center" vertical="top"/>
    </xf>
    <xf numFmtId="0" fontId="190" fillId="5" borderId="3" xfId="0" applyFont="1" applyFill="1" applyBorder="1" applyAlignment="1">
      <alignment horizontal="center" vertical="top"/>
    </xf>
    <xf numFmtId="0" fontId="191" fillId="5" borderId="3" xfId="0" applyFont="1" applyFill="1" applyBorder="1" applyAlignment="1">
      <alignment horizontal="center" vertical="top"/>
    </xf>
    <xf numFmtId="0" fontId="192" fillId="5" borderId="3" xfId="0" applyFont="1" applyFill="1" applyBorder="1" applyAlignment="1">
      <alignment horizontal="center" vertical="top"/>
    </xf>
    <xf numFmtId="0" fontId="193" fillId="5" borderId="3" xfId="0" applyFont="1" applyFill="1" applyBorder="1" applyAlignment="1">
      <alignment horizontal="center" vertical="top"/>
    </xf>
    <xf numFmtId="0" fontId="194" fillId="5" borderId="3" xfId="0" applyFont="1" applyFill="1" applyBorder="1" applyAlignment="1">
      <alignment horizontal="center" vertical="top"/>
    </xf>
    <xf numFmtId="0" fontId="195" fillId="5" borderId="3" xfId="0" applyFont="1" applyFill="1" applyBorder="1" applyAlignment="1">
      <alignment horizontal="center" vertical="top"/>
    </xf>
    <xf numFmtId="0" fontId="196" fillId="5" borderId="3" xfId="0" applyFont="1" applyFill="1" applyBorder="1" applyAlignment="1">
      <alignment horizontal="center" vertical="top"/>
    </xf>
    <xf numFmtId="0" fontId="197" fillId="5" borderId="3" xfId="0" applyFont="1" applyFill="1" applyBorder="1" applyAlignment="1">
      <alignment horizontal="center" vertical="top"/>
    </xf>
    <xf numFmtId="0" fontId="198" fillId="5" borderId="3" xfId="0" applyFont="1" applyFill="1" applyBorder="1" applyAlignment="1">
      <alignment horizontal="left" vertical="top" wrapText="1"/>
    </xf>
    <xf numFmtId="0" fontId="199" fillId="5" borderId="3" xfId="0" applyFont="1" applyFill="1" applyBorder="1" applyAlignment="1">
      <alignment horizontal="left" vertical="top" wrapText="1"/>
    </xf>
    <xf numFmtId="0" fontId="200" fillId="5" borderId="3" xfId="0" applyFont="1" applyFill="1" applyBorder="1" applyAlignment="1">
      <alignment horizontal="left" vertical="top" wrapText="1"/>
    </xf>
    <xf numFmtId="0" fontId="201" fillId="5" borderId="3" xfId="0" applyFont="1" applyFill="1" applyBorder="1" applyAlignment="1">
      <alignment horizontal="left" vertical="top" wrapText="1"/>
    </xf>
    <xf numFmtId="0" fontId="202" fillId="5" borderId="3" xfId="0" applyFont="1" applyFill="1" applyBorder="1" applyAlignment="1">
      <alignment horizontal="left" vertical="top" wrapText="1"/>
    </xf>
    <xf numFmtId="0" fontId="203" fillId="5" borderId="3" xfId="0" applyFont="1" applyFill="1" applyBorder="1" applyAlignment="1">
      <alignment horizontal="left" vertical="top" wrapText="1"/>
    </xf>
    <xf numFmtId="0" fontId="204" fillId="5" borderId="3" xfId="0" applyFont="1" applyFill="1" applyBorder="1" applyAlignment="1">
      <alignment horizontal="left" vertical="top" wrapText="1"/>
    </xf>
    <xf numFmtId="0" fontId="205" fillId="5" borderId="3" xfId="0" applyFont="1" applyFill="1" applyBorder="1" applyAlignment="1">
      <alignment horizontal="left" vertical="top" wrapText="1"/>
    </xf>
    <xf numFmtId="0" fontId="206" fillId="5" borderId="3" xfId="0" applyFont="1" applyFill="1" applyBorder="1" applyAlignment="1">
      <alignment horizontal="left" vertical="top" wrapText="1"/>
    </xf>
    <xf numFmtId="0" fontId="207" fillId="5" borderId="3" xfId="0" applyFont="1" applyFill="1" applyBorder="1" applyAlignment="1">
      <alignment horizontal="left" vertical="top" wrapText="1"/>
    </xf>
    <xf numFmtId="0" fontId="208" fillId="5" borderId="3" xfId="0" applyFont="1" applyFill="1" applyBorder="1" applyAlignment="1">
      <alignment horizontal="left" vertical="top" wrapText="1"/>
    </xf>
    <xf numFmtId="0" fontId="209" fillId="5" borderId="3" xfId="0" applyFont="1" applyFill="1" applyBorder="1" applyAlignment="1">
      <alignment horizontal="left" vertical="top" wrapText="1"/>
    </xf>
    <xf numFmtId="0" fontId="210" fillId="5" borderId="3" xfId="0" applyFont="1" applyFill="1" applyBorder="1" applyAlignment="1">
      <alignment horizontal="center" vertical="top"/>
    </xf>
    <xf numFmtId="0" fontId="211" fillId="5" borderId="3" xfId="0" applyFont="1" applyFill="1" applyBorder="1" applyAlignment="1">
      <alignment horizontal="center" vertical="top"/>
    </xf>
    <xf numFmtId="0" fontId="212" fillId="5" borderId="3" xfId="0" applyFont="1" applyFill="1" applyBorder="1" applyAlignment="1">
      <alignment horizontal="left" vertical="top" wrapText="1"/>
    </xf>
    <xf numFmtId="0" fontId="213" fillId="5" borderId="3" xfId="0" applyFont="1" applyFill="1" applyBorder="1" applyAlignment="1">
      <alignment horizontal="left" vertical="top" wrapText="1"/>
    </xf>
    <xf numFmtId="0" fontId="214" fillId="5" borderId="3" xfId="0" applyFont="1" applyFill="1" applyBorder="1" applyAlignment="1">
      <alignment horizontal="left" vertical="top" wrapText="1"/>
    </xf>
    <xf numFmtId="0" fontId="215" fillId="5" borderId="3" xfId="0" applyFont="1" applyFill="1" applyBorder="1" applyAlignment="1">
      <alignment horizontal="left" vertical="top" wrapText="1"/>
    </xf>
    <xf numFmtId="0" fontId="216" fillId="5" borderId="3" xfId="0" applyFont="1" applyFill="1" applyBorder="1" applyAlignment="1">
      <alignment horizontal="left" vertical="top" wrapText="1"/>
    </xf>
    <xf numFmtId="0" fontId="217" fillId="5" borderId="3" xfId="0" applyFont="1" applyFill="1" applyBorder="1" applyAlignment="1">
      <alignment horizontal="left" vertical="top" wrapText="1"/>
    </xf>
    <xf numFmtId="0" fontId="218" fillId="5" borderId="3" xfId="0" applyFont="1" applyFill="1" applyBorder="1" applyAlignment="1">
      <alignment horizontal="left" vertical="top" wrapText="1"/>
    </xf>
    <xf numFmtId="0" fontId="219" fillId="5" borderId="3" xfId="0" applyFont="1" applyFill="1" applyBorder="1" applyAlignment="1">
      <alignment horizontal="left" vertical="top" wrapText="1"/>
    </xf>
    <xf numFmtId="0" fontId="220" fillId="5" borderId="3" xfId="0" applyFont="1" applyFill="1" applyBorder="1" applyAlignment="1">
      <alignment horizontal="left" vertical="top" wrapText="1"/>
    </xf>
    <xf numFmtId="0" fontId="221" fillId="5" borderId="3" xfId="0" applyFont="1" applyFill="1" applyBorder="1" applyAlignment="1">
      <alignment horizontal="left" vertical="top" wrapText="1"/>
    </xf>
    <xf numFmtId="0" fontId="222" fillId="5" borderId="3" xfId="0" applyFont="1" applyFill="1" applyBorder="1" applyAlignment="1">
      <alignment horizontal="left" vertical="top" wrapText="1"/>
    </xf>
    <xf numFmtId="0" fontId="223" fillId="5" borderId="3" xfId="0" applyFont="1" applyFill="1" applyBorder="1" applyAlignment="1">
      <alignment horizontal="center" vertical="top"/>
    </xf>
    <xf numFmtId="0" fontId="224" fillId="5" borderId="3" xfId="0" applyFont="1" applyFill="1" applyBorder="1" applyAlignment="1">
      <alignment horizontal="left" vertical="top" wrapText="1"/>
    </xf>
    <xf numFmtId="0" fontId="225" fillId="5" borderId="3" xfId="0" applyFont="1" applyFill="1" applyBorder="1" applyAlignment="1">
      <alignment horizontal="left" vertical="top" wrapText="1"/>
    </xf>
    <xf numFmtId="0" fontId="226" fillId="5" borderId="3" xfId="0" applyFont="1" applyFill="1" applyBorder="1" applyAlignment="1">
      <alignment horizontal="left" vertical="top" wrapText="1"/>
    </xf>
    <xf numFmtId="0" fontId="227" fillId="5" borderId="3" xfId="0" applyFont="1" applyFill="1" applyBorder="1" applyAlignment="1">
      <alignment horizontal="left" vertical="top" wrapText="1"/>
    </xf>
    <xf numFmtId="0" fontId="228" fillId="5" borderId="3" xfId="0" applyFont="1" applyFill="1" applyBorder="1" applyAlignment="1">
      <alignment horizontal="center" vertical="top"/>
    </xf>
    <xf numFmtId="0" fontId="229" fillId="5" borderId="3" xfId="0" applyFont="1" applyFill="1" applyBorder="1" applyAlignment="1">
      <alignment horizontal="center" vertical="top"/>
    </xf>
    <xf numFmtId="0" fontId="230" fillId="5" borderId="3" xfId="0" applyFont="1" applyFill="1" applyBorder="1" applyAlignment="1">
      <alignment horizontal="left" vertical="top" wrapText="1"/>
    </xf>
    <xf numFmtId="0" fontId="231" fillId="5" borderId="3" xfId="0" applyFont="1" applyFill="1" applyBorder="1" applyAlignment="1">
      <alignment horizontal="left" vertical="top" wrapText="1"/>
    </xf>
    <xf numFmtId="0" fontId="232" fillId="5" borderId="3" xfId="0" applyFont="1" applyFill="1" applyBorder="1" applyAlignment="1">
      <alignment horizontal="left" vertical="top" wrapText="1"/>
    </xf>
    <xf numFmtId="0" fontId="233" fillId="5" borderId="3" xfId="0" applyFont="1" applyFill="1" applyBorder="1" applyAlignment="1">
      <alignment horizontal="left" vertical="top" wrapText="1"/>
    </xf>
    <xf numFmtId="0" fontId="234" fillId="5" borderId="3" xfId="0" applyFont="1" applyFill="1" applyBorder="1" applyAlignment="1">
      <alignment horizontal="left" vertical="top" wrapText="1"/>
    </xf>
    <xf numFmtId="0" fontId="235" fillId="5" borderId="3" xfId="0" applyFont="1" applyFill="1" applyBorder="1" applyAlignment="1">
      <alignment horizontal="left" vertical="top" wrapText="1"/>
    </xf>
    <xf numFmtId="0" fontId="236" fillId="5" borderId="3" xfId="0" applyFont="1" applyFill="1" applyBorder="1" applyAlignment="1">
      <alignment horizontal="left" vertical="top" wrapText="1"/>
    </xf>
    <xf numFmtId="0" fontId="237" fillId="5" borderId="3" xfId="0" applyFont="1" applyFill="1" applyBorder="1" applyAlignment="1">
      <alignment horizontal="left" vertical="top" wrapText="1"/>
    </xf>
    <xf numFmtId="0" fontId="238" fillId="5" borderId="3" xfId="0" applyFont="1" applyFill="1" applyBorder="1" applyAlignment="1">
      <alignment horizontal="left" vertical="top" wrapText="1"/>
    </xf>
    <xf numFmtId="0" fontId="239" fillId="5" borderId="3" xfId="0" applyFont="1" applyFill="1" applyBorder="1" applyAlignment="1">
      <alignment horizontal="left" vertical="top" wrapText="1"/>
    </xf>
    <xf numFmtId="0" fontId="240" fillId="5" borderId="3" xfId="0" applyFont="1" applyFill="1" applyBorder="1" applyAlignment="1">
      <alignment horizontal="left" vertical="top" wrapText="1"/>
    </xf>
    <xf numFmtId="0" fontId="241" fillId="5" borderId="3" xfId="0" applyFont="1" applyFill="1" applyBorder="1" applyAlignment="1">
      <alignment horizontal="left" vertical="top" wrapText="1"/>
    </xf>
    <xf numFmtId="0" fontId="242" fillId="5" borderId="3" xfId="0" applyFont="1" applyFill="1" applyBorder="1" applyAlignment="1">
      <alignment horizontal="left" vertical="top" wrapText="1"/>
    </xf>
    <xf numFmtId="0" fontId="243" fillId="5" borderId="3" xfId="0" applyFont="1" applyFill="1" applyBorder="1" applyAlignment="1">
      <alignment horizontal="left" vertical="top" wrapText="1"/>
    </xf>
    <xf numFmtId="0" fontId="244" fillId="5" borderId="3" xfId="0" applyFont="1" applyFill="1" applyBorder="1" applyAlignment="1">
      <alignment horizontal="left" vertical="top" wrapText="1"/>
    </xf>
    <xf numFmtId="0" fontId="245" fillId="5" borderId="3" xfId="0" applyFont="1" applyFill="1" applyBorder="1" applyAlignment="1">
      <alignment horizontal="left" vertical="top" wrapText="1"/>
    </xf>
    <xf numFmtId="0" fontId="246" fillId="5" borderId="3" xfId="0" applyFont="1" applyFill="1" applyBorder="1" applyAlignment="1">
      <alignment horizontal="left" vertical="top" wrapText="1"/>
    </xf>
    <xf numFmtId="0" fontId="247" fillId="5" borderId="3" xfId="0" applyFont="1" applyFill="1" applyBorder="1" applyAlignment="1">
      <alignment horizontal="left" vertical="top" wrapText="1"/>
    </xf>
    <xf numFmtId="0" fontId="248" fillId="5" borderId="3" xfId="0" applyFont="1" applyFill="1" applyBorder="1" applyAlignment="1">
      <alignment horizontal="left" vertical="top" wrapText="1"/>
    </xf>
    <xf numFmtId="0" fontId="249" fillId="5" borderId="3" xfId="0" applyFont="1" applyFill="1" applyBorder="1" applyAlignment="1">
      <alignment horizontal="left" vertical="top" wrapText="1"/>
    </xf>
    <xf numFmtId="0" fontId="250" fillId="5" borderId="3" xfId="0" applyFont="1" applyFill="1" applyBorder="1" applyAlignment="1">
      <alignment horizontal="left" vertical="top" wrapText="1"/>
    </xf>
    <xf numFmtId="0" fontId="251" fillId="5" borderId="3" xfId="0" applyFont="1" applyFill="1" applyBorder="1" applyAlignment="1">
      <alignment horizontal="center" vertical="top"/>
    </xf>
    <xf numFmtId="0" fontId="252" fillId="5" borderId="3" xfId="0" applyFont="1" applyFill="1" applyBorder="1" applyAlignment="1">
      <alignment horizontal="center" vertical="top"/>
    </xf>
    <xf numFmtId="0" fontId="253" fillId="5" borderId="3" xfId="0" applyFont="1" applyFill="1" applyBorder="1" applyAlignment="1">
      <alignment horizontal="center" vertical="top"/>
    </xf>
    <xf numFmtId="0" fontId="254" fillId="5" borderId="3" xfId="0" applyFont="1" applyFill="1" applyBorder="1" applyAlignment="1">
      <alignment horizontal="left" vertical="top" wrapText="1"/>
    </xf>
    <xf numFmtId="0" fontId="255" fillId="5" borderId="3" xfId="0" applyFont="1" applyFill="1" applyBorder="1" applyAlignment="1">
      <alignment horizontal="center" vertical="top"/>
    </xf>
    <xf numFmtId="0" fontId="256" fillId="5" borderId="3" xfId="0" applyFont="1" applyFill="1" applyBorder="1" applyAlignment="1">
      <alignment horizontal="center" vertical="top"/>
    </xf>
    <xf numFmtId="0" fontId="257" fillId="5" borderId="3" xfId="0" applyFont="1" applyFill="1" applyBorder="1" applyAlignment="1">
      <alignment horizontal="left" vertical="top" wrapText="1"/>
    </xf>
    <xf numFmtId="0" fontId="258" fillId="5" borderId="3" xfId="0" applyFont="1" applyFill="1" applyBorder="1" applyAlignment="1">
      <alignment horizontal="left" vertical="top" wrapText="1"/>
    </xf>
    <xf numFmtId="0" fontId="259" fillId="5" borderId="3" xfId="0" applyFont="1" applyFill="1" applyBorder="1" applyAlignment="1">
      <alignment horizontal="left" vertical="top" wrapText="1"/>
    </xf>
    <xf numFmtId="0" fontId="260" fillId="5" borderId="3" xfId="0" applyFont="1" applyFill="1" applyBorder="1" applyAlignment="1">
      <alignment horizontal="left" vertical="top" wrapText="1"/>
    </xf>
    <xf numFmtId="0" fontId="261" fillId="5" borderId="3" xfId="0" applyFont="1" applyFill="1" applyBorder="1" applyAlignment="1">
      <alignment horizontal="left" vertical="top" wrapText="1"/>
    </xf>
    <xf numFmtId="0" fontId="262" fillId="5" borderId="3" xfId="0" applyFont="1" applyFill="1" applyBorder="1" applyAlignment="1">
      <alignment horizontal="left" vertical="top" wrapText="1"/>
    </xf>
    <xf numFmtId="0" fontId="263" fillId="5" borderId="3" xfId="0" applyFont="1" applyFill="1" applyBorder="1" applyAlignment="1">
      <alignment horizontal="center" vertical="top"/>
    </xf>
    <xf numFmtId="0" fontId="264" fillId="5" borderId="3" xfId="0" applyFont="1" applyFill="1" applyBorder="1" applyAlignment="1">
      <alignment horizontal="left" vertical="top" wrapText="1"/>
    </xf>
    <xf numFmtId="0" fontId="265" fillId="5" borderId="3" xfId="0" applyFont="1" applyFill="1" applyBorder="1" applyAlignment="1">
      <alignment horizontal="left" vertical="top" wrapText="1"/>
    </xf>
    <xf numFmtId="0" fontId="266" fillId="5" borderId="3" xfId="0" applyFont="1" applyFill="1" applyBorder="1" applyAlignment="1">
      <alignment horizontal="left" vertical="top" wrapText="1"/>
    </xf>
    <xf numFmtId="0" fontId="267" fillId="5" borderId="3" xfId="0" applyFont="1" applyFill="1" applyBorder="1" applyAlignment="1">
      <alignment horizontal="left" vertical="top" wrapText="1"/>
    </xf>
    <xf numFmtId="0" fontId="268" fillId="5" borderId="3" xfId="0" applyFont="1" applyFill="1" applyBorder="1" applyAlignment="1">
      <alignment horizontal="left" vertical="top" wrapText="1"/>
    </xf>
    <xf numFmtId="0" fontId="269" fillId="5" borderId="3" xfId="0" applyFont="1" applyFill="1" applyBorder="1" applyAlignment="1">
      <alignment horizontal="left" vertical="top" wrapText="1"/>
    </xf>
    <xf numFmtId="0" fontId="270" fillId="5" borderId="3" xfId="0" applyFont="1" applyFill="1" applyBorder="1" applyAlignment="1">
      <alignment horizontal="center" vertical="top"/>
    </xf>
    <xf numFmtId="0" fontId="271" fillId="5" borderId="3" xfId="0" applyFont="1" applyFill="1" applyBorder="1" applyAlignment="1">
      <alignment horizontal="left" vertical="top" wrapText="1"/>
    </xf>
    <xf numFmtId="0" fontId="272" fillId="5" borderId="3" xfId="0" applyFont="1" applyFill="1" applyBorder="1" applyAlignment="1">
      <alignment horizontal="center" vertical="top"/>
    </xf>
    <xf numFmtId="0" fontId="273" fillId="5" borderId="3" xfId="0" applyFont="1" applyFill="1" applyBorder="1" applyAlignment="1">
      <alignment horizontal="left" vertical="top" wrapText="1"/>
    </xf>
    <xf numFmtId="0" fontId="274" fillId="5" borderId="3" xfId="0" applyFont="1" applyFill="1" applyBorder="1" applyAlignment="1">
      <alignment horizontal="left" vertical="top" wrapText="1"/>
    </xf>
    <xf numFmtId="0" fontId="275" fillId="5" borderId="3" xfId="0" applyFont="1" applyFill="1" applyBorder="1" applyAlignment="1">
      <alignment horizontal="left" vertical="top" wrapText="1"/>
    </xf>
    <xf numFmtId="0" fontId="276" fillId="5" borderId="3" xfId="0" applyFont="1" applyFill="1" applyBorder="1" applyAlignment="1">
      <alignment horizontal="left" vertical="top" wrapText="1"/>
    </xf>
    <xf numFmtId="0" fontId="277" fillId="5" borderId="3" xfId="0" applyFont="1" applyFill="1" applyBorder="1" applyAlignment="1">
      <alignment horizontal="left" vertical="top" wrapText="1"/>
    </xf>
    <xf numFmtId="0" fontId="278" fillId="5" borderId="3" xfId="0" applyFont="1" applyFill="1" applyBorder="1" applyAlignment="1">
      <alignment horizontal="left" vertical="top" wrapText="1"/>
    </xf>
    <xf numFmtId="0" fontId="279" fillId="5" borderId="3" xfId="0" applyFont="1" applyFill="1" applyBorder="1" applyAlignment="1">
      <alignment horizontal="left" vertical="top" wrapText="1"/>
    </xf>
    <xf numFmtId="0" fontId="280" fillId="5" borderId="3" xfId="0" applyFont="1" applyFill="1" applyBorder="1" applyAlignment="1">
      <alignment horizontal="left" vertical="top" wrapText="1"/>
    </xf>
    <xf numFmtId="0" fontId="281" fillId="5" borderId="3" xfId="0" applyFont="1" applyFill="1" applyBorder="1" applyAlignment="1">
      <alignment horizontal="center" vertical="top"/>
    </xf>
    <xf numFmtId="0" fontId="282" fillId="5" borderId="3" xfId="0" applyFont="1" applyFill="1" applyBorder="1" applyAlignment="1">
      <alignment horizontal="center" vertical="top"/>
    </xf>
    <xf numFmtId="0" fontId="283" fillId="5" borderId="3" xfId="0" applyFont="1" applyFill="1" applyBorder="1" applyAlignment="1">
      <alignment horizontal="center" vertical="top"/>
    </xf>
    <xf numFmtId="0" fontId="284" fillId="5" borderId="3" xfId="0" applyFont="1" applyFill="1" applyBorder="1" applyAlignment="1">
      <alignment horizontal="center" vertical="top"/>
    </xf>
    <xf numFmtId="0" fontId="285" fillId="5" borderId="3" xfId="0" applyFont="1" applyFill="1" applyBorder="1" applyAlignment="1">
      <alignment horizontal="left" vertical="top" wrapText="1"/>
    </xf>
    <xf numFmtId="0" fontId="286" fillId="5" borderId="3" xfId="0" applyFont="1" applyFill="1" applyBorder="1" applyAlignment="1">
      <alignment horizontal="left" vertical="top" wrapText="1"/>
    </xf>
    <xf numFmtId="0" fontId="287" fillId="5" borderId="3" xfId="0" applyFont="1" applyFill="1" applyBorder="1" applyAlignment="1">
      <alignment horizontal="left" vertical="top" wrapText="1"/>
    </xf>
    <xf numFmtId="0" fontId="288" fillId="5" borderId="3" xfId="0" applyFont="1" applyFill="1" applyBorder="1" applyAlignment="1">
      <alignment horizontal="left" vertical="top" wrapText="1"/>
    </xf>
    <xf numFmtId="0" fontId="289" fillId="5" borderId="3" xfId="0" applyFont="1" applyFill="1" applyBorder="1" applyAlignment="1">
      <alignment horizontal="center" vertical="top"/>
    </xf>
    <xf numFmtId="0" fontId="290" fillId="5" borderId="3" xfId="0" applyFont="1" applyFill="1" applyBorder="1" applyAlignment="1">
      <alignment horizontal="left" vertical="top" wrapText="1"/>
    </xf>
    <xf numFmtId="0" fontId="291" fillId="5" borderId="3" xfId="0" applyFont="1" applyFill="1" applyBorder="1" applyAlignment="1">
      <alignment horizontal="left" vertical="top" wrapText="1"/>
    </xf>
    <xf numFmtId="0" fontId="292" fillId="5" borderId="3" xfId="0" applyFont="1" applyFill="1" applyBorder="1" applyAlignment="1">
      <alignment horizontal="left" vertical="top" wrapText="1"/>
    </xf>
    <xf numFmtId="0" fontId="293" fillId="5" borderId="3" xfId="0" applyFont="1" applyFill="1" applyBorder="1" applyAlignment="1">
      <alignment horizontal="left" vertical="top" wrapText="1"/>
    </xf>
    <xf numFmtId="0" fontId="294" fillId="5" borderId="3" xfId="0" applyFont="1" applyFill="1" applyBorder="1" applyAlignment="1">
      <alignment horizontal="left" vertical="top" wrapText="1"/>
    </xf>
    <xf numFmtId="0" fontId="295" fillId="5" borderId="3" xfId="0" applyFont="1" applyFill="1" applyBorder="1" applyAlignment="1">
      <alignment horizontal="left" vertical="top" wrapText="1"/>
    </xf>
    <xf numFmtId="0" fontId="296" fillId="5" borderId="3" xfId="0" applyFont="1" applyFill="1" applyBorder="1" applyAlignment="1">
      <alignment horizontal="left" vertical="top" wrapText="1"/>
    </xf>
    <xf numFmtId="0" fontId="297" fillId="5" borderId="3" xfId="0" applyFont="1" applyFill="1" applyBorder="1" applyAlignment="1">
      <alignment horizontal="left" vertical="top" wrapText="1"/>
    </xf>
    <xf numFmtId="0" fontId="298" fillId="5" borderId="3" xfId="0" applyFont="1" applyFill="1" applyBorder="1" applyAlignment="1">
      <alignment horizontal="left" vertical="top" wrapText="1"/>
    </xf>
    <xf numFmtId="0" fontId="299" fillId="5" borderId="3" xfId="0" applyFont="1" applyFill="1" applyBorder="1" applyAlignment="1">
      <alignment horizontal="left" vertical="top" wrapText="1"/>
    </xf>
    <xf numFmtId="0" fontId="300" fillId="5" borderId="3" xfId="0" applyFont="1" applyFill="1" applyBorder="1" applyAlignment="1">
      <alignment horizontal="center" vertical="top"/>
    </xf>
    <xf numFmtId="0" fontId="301" fillId="5" borderId="3" xfId="0" applyFont="1" applyFill="1" applyBorder="1" applyAlignment="1">
      <alignment horizontal="left" vertical="top" wrapText="1"/>
    </xf>
    <xf numFmtId="0" fontId="302" fillId="5" borderId="3" xfId="0" applyFont="1" applyFill="1" applyBorder="1" applyAlignment="1">
      <alignment horizontal="left" vertical="top" wrapText="1"/>
    </xf>
    <xf numFmtId="0" fontId="303" fillId="5" borderId="3" xfId="0" applyFont="1" applyFill="1" applyBorder="1" applyAlignment="1">
      <alignment horizontal="left" vertical="top" wrapText="1"/>
    </xf>
    <xf numFmtId="0" fontId="304" fillId="5" borderId="3" xfId="0" applyFont="1" applyFill="1" applyBorder="1" applyAlignment="1">
      <alignment horizontal="left" vertical="top" wrapText="1"/>
    </xf>
    <xf numFmtId="0" fontId="305" fillId="5" borderId="3" xfId="0" applyFont="1" applyFill="1" applyBorder="1" applyAlignment="1">
      <alignment horizontal="left" vertical="top" wrapText="1"/>
    </xf>
    <xf numFmtId="0" fontId="306" fillId="5" borderId="3" xfId="0" applyFont="1" applyFill="1" applyBorder="1" applyAlignment="1">
      <alignment horizontal="center" vertical="top"/>
    </xf>
    <xf numFmtId="0" fontId="307" fillId="5" borderId="3" xfId="0" applyFont="1" applyFill="1" applyBorder="1" applyAlignment="1">
      <alignment horizontal="left" vertical="top" wrapText="1"/>
    </xf>
    <xf numFmtId="0" fontId="308" fillId="5" borderId="3" xfId="0" applyFont="1" applyFill="1" applyBorder="1" applyAlignment="1">
      <alignment horizontal="left" vertical="top" wrapText="1"/>
    </xf>
    <xf numFmtId="0" fontId="309" fillId="5" borderId="3" xfId="0" applyFont="1" applyFill="1" applyBorder="1" applyAlignment="1">
      <alignment horizontal="left" vertical="top" wrapText="1"/>
    </xf>
    <xf numFmtId="0" fontId="310" fillId="5" borderId="3" xfId="0" applyFont="1" applyFill="1" applyBorder="1" applyAlignment="1">
      <alignment horizontal="left" vertical="top" wrapText="1"/>
    </xf>
    <xf numFmtId="0" fontId="311" fillId="5" borderId="3" xfId="0" applyFont="1" applyFill="1" applyBorder="1" applyAlignment="1">
      <alignment horizontal="left" vertical="top" wrapText="1"/>
    </xf>
    <xf numFmtId="0" fontId="312" fillId="5" borderId="3" xfId="0" applyFont="1" applyFill="1" applyBorder="1" applyAlignment="1">
      <alignment horizontal="left" vertical="top" wrapText="1"/>
    </xf>
    <xf numFmtId="0" fontId="313" fillId="5" borderId="3" xfId="0" applyFont="1" applyFill="1" applyBorder="1" applyAlignment="1">
      <alignment horizontal="left" vertical="top" wrapText="1"/>
    </xf>
    <xf numFmtId="0" fontId="314" fillId="5" borderId="3" xfId="0" applyFont="1" applyFill="1" applyBorder="1" applyAlignment="1">
      <alignment horizontal="left" vertical="top" wrapText="1"/>
    </xf>
    <xf numFmtId="0" fontId="315" fillId="5" borderId="3" xfId="0" applyFont="1" applyFill="1" applyBorder="1" applyAlignment="1">
      <alignment horizontal="left" vertical="top" wrapText="1"/>
    </xf>
    <xf numFmtId="0" fontId="316" fillId="5" borderId="3" xfId="0" applyFont="1" applyFill="1" applyBorder="1" applyAlignment="1">
      <alignment horizontal="left" vertical="top" wrapText="1"/>
    </xf>
    <xf numFmtId="0" fontId="317" fillId="5" borderId="3" xfId="0" applyFont="1" applyFill="1" applyBorder="1" applyAlignment="1">
      <alignment horizontal="left" vertical="top" wrapText="1"/>
    </xf>
    <xf numFmtId="0" fontId="318" fillId="5" borderId="3" xfId="0" applyFont="1" applyFill="1" applyBorder="1" applyAlignment="1">
      <alignment horizontal="left" vertical="top" wrapText="1"/>
    </xf>
    <xf numFmtId="0" fontId="319" fillId="5" borderId="3" xfId="0" applyFont="1" applyFill="1" applyBorder="1" applyAlignment="1">
      <alignment horizontal="left" vertical="top" wrapText="1"/>
    </xf>
    <xf numFmtId="0" fontId="320" fillId="5" borderId="3" xfId="0" applyFont="1" applyFill="1" applyBorder="1" applyAlignment="1">
      <alignment horizontal="left" vertical="top" wrapText="1"/>
    </xf>
    <xf numFmtId="0" fontId="321" fillId="5" borderId="3" xfId="0" applyFont="1" applyFill="1" applyBorder="1" applyAlignment="1">
      <alignment horizontal="left" vertical="top" wrapText="1"/>
    </xf>
    <xf numFmtId="0" fontId="322" fillId="5" borderId="3" xfId="0" applyFont="1" applyFill="1" applyBorder="1" applyAlignment="1">
      <alignment horizontal="left" vertical="top" wrapText="1"/>
    </xf>
    <xf numFmtId="0" fontId="323" fillId="5" borderId="3" xfId="0" applyFont="1" applyFill="1" applyBorder="1" applyAlignment="1">
      <alignment horizontal="left" vertical="top" wrapText="1"/>
    </xf>
    <xf numFmtId="0" fontId="324" fillId="5" borderId="3" xfId="0" applyFont="1" applyFill="1" applyBorder="1" applyAlignment="1">
      <alignment horizontal="left" vertical="top" wrapText="1"/>
    </xf>
    <xf numFmtId="0" fontId="325" fillId="5" borderId="3" xfId="0" applyFont="1" applyFill="1" applyBorder="1" applyAlignment="1">
      <alignment horizontal="left" vertical="top" wrapText="1"/>
    </xf>
    <xf numFmtId="0" fontId="326" fillId="5" borderId="3" xfId="0" applyFont="1" applyFill="1" applyBorder="1" applyAlignment="1">
      <alignment horizontal="left" vertical="top" wrapText="1"/>
    </xf>
    <xf numFmtId="0" fontId="327" fillId="5" borderId="3" xfId="0" applyFont="1" applyFill="1" applyBorder="1" applyAlignment="1">
      <alignment horizontal="left" vertical="top" wrapText="1"/>
    </xf>
    <xf numFmtId="0" fontId="328" fillId="5" borderId="3" xfId="0" applyFont="1" applyFill="1" applyBorder="1" applyAlignment="1">
      <alignment horizontal="left" vertical="top" wrapText="1"/>
    </xf>
    <xf numFmtId="0" fontId="329" fillId="5" borderId="3" xfId="0" applyFont="1" applyFill="1" applyBorder="1" applyAlignment="1">
      <alignment horizontal="left" vertical="top" wrapText="1"/>
    </xf>
    <xf numFmtId="0" fontId="330" fillId="5" borderId="3" xfId="0" applyFont="1" applyFill="1" applyBorder="1" applyAlignment="1">
      <alignment horizontal="left" vertical="top" wrapText="1"/>
    </xf>
    <xf numFmtId="0" fontId="331" fillId="5" borderId="3" xfId="0" applyFont="1" applyFill="1" applyBorder="1" applyAlignment="1">
      <alignment horizontal="left" vertical="top" wrapText="1"/>
    </xf>
    <xf numFmtId="0" fontId="332" fillId="5" borderId="3" xfId="0" applyFont="1" applyFill="1" applyBorder="1" applyAlignment="1">
      <alignment horizontal="left" vertical="top" wrapText="1"/>
    </xf>
    <xf numFmtId="0" fontId="333" fillId="5" borderId="3" xfId="0" applyFont="1" applyFill="1" applyBorder="1" applyAlignment="1">
      <alignment horizontal="left" vertical="top" wrapText="1"/>
    </xf>
    <xf numFmtId="0" fontId="334" fillId="5" borderId="3" xfId="0" applyFont="1" applyFill="1" applyBorder="1" applyAlignment="1">
      <alignment horizontal="left" vertical="top" wrapText="1"/>
    </xf>
    <xf numFmtId="0" fontId="335" fillId="5" borderId="3" xfId="0" applyFont="1" applyFill="1" applyBorder="1" applyAlignment="1">
      <alignment horizontal="left" vertical="top" wrapText="1"/>
    </xf>
    <xf numFmtId="0" fontId="336" fillId="5" borderId="3" xfId="0" applyFont="1" applyFill="1" applyBorder="1" applyAlignment="1">
      <alignment horizontal="left" vertical="top" wrapText="1"/>
    </xf>
    <xf numFmtId="0" fontId="337" fillId="5" borderId="3" xfId="0" applyFont="1" applyFill="1" applyBorder="1" applyAlignment="1">
      <alignment horizontal="left" vertical="top" wrapText="1"/>
    </xf>
    <xf numFmtId="0" fontId="338" fillId="5" borderId="3" xfId="0" applyFont="1" applyFill="1" applyBorder="1" applyAlignment="1">
      <alignment horizontal="left" vertical="top" wrapText="1"/>
    </xf>
    <xf numFmtId="0" fontId="339" fillId="5" borderId="3" xfId="0" applyFont="1" applyFill="1" applyBorder="1" applyAlignment="1">
      <alignment horizontal="left" vertical="top" wrapText="1"/>
    </xf>
    <xf numFmtId="0" fontId="340" fillId="5" borderId="3" xfId="0" applyFont="1" applyFill="1" applyBorder="1" applyAlignment="1">
      <alignment horizontal="left" vertical="top" wrapText="1"/>
    </xf>
    <xf numFmtId="0" fontId="341" fillId="5" borderId="3" xfId="0" applyFont="1" applyFill="1" applyBorder="1" applyAlignment="1">
      <alignment horizontal="left" vertical="top" wrapText="1"/>
    </xf>
    <xf numFmtId="0" fontId="342" fillId="5" borderId="3" xfId="0" applyFont="1" applyFill="1" applyBorder="1" applyAlignment="1">
      <alignment horizontal="left" vertical="top" wrapText="1"/>
    </xf>
    <xf numFmtId="0" fontId="343" fillId="5" borderId="3" xfId="0" applyFont="1" applyFill="1" applyBorder="1" applyAlignment="1">
      <alignment horizontal="left" vertical="top" wrapText="1"/>
    </xf>
    <xf numFmtId="0" fontId="344" fillId="5" borderId="3" xfId="0" applyFont="1" applyFill="1" applyBorder="1" applyAlignment="1">
      <alignment horizontal="left" vertical="top" wrapText="1"/>
    </xf>
    <xf numFmtId="0" fontId="345" fillId="5" borderId="3" xfId="0" applyFont="1" applyFill="1" applyBorder="1" applyAlignment="1">
      <alignment horizontal="left" vertical="top" wrapText="1"/>
    </xf>
    <xf numFmtId="0" fontId="346" fillId="5" borderId="3" xfId="0" applyFont="1" applyFill="1" applyBorder="1" applyAlignment="1">
      <alignment horizontal="left" vertical="top" wrapText="1"/>
    </xf>
    <xf numFmtId="0" fontId="347" fillId="5" borderId="3" xfId="0" applyFont="1" applyFill="1" applyBorder="1" applyAlignment="1">
      <alignment horizontal="left" vertical="top" wrapText="1"/>
    </xf>
    <xf numFmtId="0" fontId="348" fillId="5" borderId="3" xfId="0" applyFont="1" applyFill="1" applyBorder="1" applyAlignment="1">
      <alignment horizontal="left" vertical="top" wrapText="1"/>
    </xf>
    <xf numFmtId="0" fontId="349" fillId="5" borderId="3" xfId="0" applyFont="1" applyFill="1" applyBorder="1" applyAlignment="1">
      <alignment horizontal="left" vertical="top" wrapText="1"/>
    </xf>
    <xf numFmtId="0" fontId="350" fillId="5" borderId="3" xfId="0" applyFont="1" applyFill="1" applyBorder="1" applyAlignment="1">
      <alignment horizontal="left" vertical="top" wrapText="1"/>
    </xf>
    <xf numFmtId="0" fontId="351" fillId="5" borderId="3" xfId="0" applyFont="1" applyFill="1" applyBorder="1" applyAlignment="1">
      <alignment horizontal="left" vertical="top" wrapText="1"/>
    </xf>
    <xf numFmtId="0" fontId="352" fillId="5" borderId="3" xfId="0" applyFont="1" applyFill="1" applyBorder="1" applyAlignment="1">
      <alignment horizontal="left" vertical="top" wrapText="1"/>
    </xf>
    <xf numFmtId="0" fontId="353" fillId="5" borderId="3" xfId="0" applyFont="1" applyFill="1" applyBorder="1" applyAlignment="1">
      <alignment horizontal="left" vertical="top" wrapText="1"/>
    </xf>
    <xf numFmtId="0" fontId="354" fillId="5" borderId="3" xfId="0" applyFont="1" applyFill="1" applyBorder="1" applyAlignment="1">
      <alignment horizontal="left" vertical="top" wrapText="1"/>
    </xf>
    <xf numFmtId="0" fontId="355" fillId="5" borderId="3" xfId="0" applyFont="1" applyFill="1" applyBorder="1" applyAlignment="1">
      <alignment horizontal="left" vertical="top" wrapText="1"/>
    </xf>
    <xf numFmtId="0" fontId="356" fillId="5" borderId="3" xfId="0" applyFont="1" applyFill="1" applyBorder="1" applyAlignment="1">
      <alignment horizontal="center" vertical="top"/>
    </xf>
    <xf numFmtId="0" fontId="357" fillId="5" borderId="3" xfId="0" applyFont="1" applyFill="1" applyBorder="1" applyAlignment="1">
      <alignment horizontal="left" vertical="top" wrapText="1"/>
    </xf>
    <xf numFmtId="0" fontId="358" fillId="5" borderId="3" xfId="0" applyFont="1" applyFill="1" applyBorder="1" applyAlignment="1">
      <alignment horizontal="left" vertical="top" wrapText="1"/>
    </xf>
    <xf numFmtId="0" fontId="359" fillId="5" borderId="3" xfId="0" applyFont="1" applyFill="1" applyBorder="1" applyAlignment="1">
      <alignment horizontal="left" vertical="top" wrapText="1"/>
    </xf>
    <xf numFmtId="0" fontId="360" fillId="5" borderId="3" xfId="0" applyFont="1" applyFill="1" applyBorder="1" applyAlignment="1">
      <alignment horizontal="left" vertical="top" wrapText="1"/>
    </xf>
    <xf numFmtId="0" fontId="361" fillId="5" borderId="3" xfId="0" applyFont="1" applyFill="1" applyBorder="1" applyAlignment="1">
      <alignment horizontal="left" vertical="top" wrapText="1"/>
    </xf>
    <xf numFmtId="0" fontId="362" fillId="5" borderId="3" xfId="0" applyFont="1" applyFill="1" applyBorder="1" applyAlignment="1">
      <alignment horizontal="left" vertical="top" wrapText="1"/>
    </xf>
    <xf numFmtId="0" fontId="363" fillId="5" borderId="3" xfId="0" applyFont="1" applyFill="1" applyBorder="1" applyAlignment="1">
      <alignment horizontal="left" vertical="top" wrapText="1"/>
    </xf>
    <xf numFmtId="0" fontId="364" fillId="5" borderId="3" xfId="0" applyFont="1" applyFill="1" applyBorder="1" applyAlignment="1">
      <alignment horizontal="center" vertical="top"/>
    </xf>
    <xf numFmtId="0" fontId="365" fillId="5" borderId="3" xfId="0" applyFont="1" applyFill="1" applyBorder="1" applyAlignment="1">
      <alignment horizontal="center" vertical="top"/>
    </xf>
    <xf numFmtId="0" fontId="366" fillId="5" borderId="3" xfId="0" applyFont="1" applyFill="1" applyBorder="1" applyAlignment="1">
      <alignment horizontal="left" vertical="top" wrapText="1"/>
    </xf>
    <xf numFmtId="0" fontId="367" fillId="5" borderId="3" xfId="0" applyFont="1" applyFill="1" applyBorder="1" applyAlignment="1">
      <alignment horizontal="left" vertical="top" wrapText="1"/>
    </xf>
    <xf numFmtId="0" fontId="368" fillId="5" borderId="3" xfId="0" applyFont="1" applyFill="1" applyBorder="1" applyAlignment="1">
      <alignment horizontal="left" vertical="top" wrapText="1"/>
    </xf>
    <xf numFmtId="0" fontId="369" fillId="5" borderId="3" xfId="0" applyFont="1" applyFill="1" applyBorder="1" applyAlignment="1">
      <alignment horizontal="left" vertical="top" wrapText="1"/>
    </xf>
    <xf numFmtId="0" fontId="370" fillId="5" borderId="3" xfId="0" applyFont="1" applyFill="1" applyBorder="1" applyAlignment="1">
      <alignment horizontal="left" vertical="top" wrapText="1"/>
    </xf>
    <xf numFmtId="0" fontId="371" fillId="5" borderId="3" xfId="0" applyFont="1" applyFill="1" applyBorder="1" applyAlignment="1">
      <alignment horizontal="left" vertical="top" wrapText="1"/>
    </xf>
    <xf numFmtId="0" fontId="372" fillId="5" borderId="3" xfId="0" applyFont="1" applyFill="1" applyBorder="1" applyAlignment="1">
      <alignment horizontal="left" vertical="top" wrapText="1"/>
    </xf>
    <xf numFmtId="0" fontId="373" fillId="5" borderId="3" xfId="0" applyFont="1" applyFill="1" applyBorder="1" applyAlignment="1">
      <alignment horizontal="left" vertical="top" wrapText="1"/>
    </xf>
    <xf numFmtId="0" fontId="374" fillId="5" borderId="3" xfId="0" applyFont="1" applyFill="1" applyBorder="1" applyAlignment="1">
      <alignment horizontal="left" vertical="top" wrapText="1"/>
    </xf>
    <xf numFmtId="0" fontId="375" fillId="5" borderId="3" xfId="0" applyFont="1" applyFill="1" applyBorder="1" applyAlignment="1">
      <alignment horizontal="left" vertical="top" wrapText="1"/>
    </xf>
    <xf numFmtId="0" fontId="376" fillId="5" borderId="3" xfId="0" applyFont="1" applyFill="1" applyBorder="1" applyAlignment="1">
      <alignment horizontal="left" vertical="top" wrapText="1"/>
    </xf>
    <xf numFmtId="0" fontId="377" fillId="5" borderId="3" xfId="0" applyFont="1" applyFill="1" applyBorder="1" applyAlignment="1">
      <alignment horizontal="left" vertical="top" wrapText="1"/>
    </xf>
    <xf numFmtId="0" fontId="378" fillId="5" borderId="3" xfId="0" applyFont="1" applyFill="1" applyBorder="1" applyAlignment="1">
      <alignment horizontal="left" vertical="top" wrapText="1"/>
    </xf>
    <xf numFmtId="0" fontId="379" fillId="5" borderId="3" xfId="0" applyFont="1" applyFill="1" applyBorder="1" applyAlignment="1">
      <alignment horizontal="left" vertical="top" wrapText="1"/>
    </xf>
    <xf numFmtId="0" fontId="380" fillId="5" borderId="3" xfId="0" applyFont="1" applyFill="1" applyBorder="1" applyAlignment="1">
      <alignment horizontal="left" vertical="top" wrapText="1"/>
    </xf>
    <xf numFmtId="0" fontId="381" fillId="5" borderId="3" xfId="0" applyFont="1" applyFill="1" applyBorder="1" applyAlignment="1">
      <alignment horizontal="left" vertical="top" wrapText="1"/>
    </xf>
    <xf numFmtId="0" fontId="382" fillId="5" borderId="3" xfId="0" applyFont="1" applyFill="1" applyBorder="1" applyAlignment="1">
      <alignment horizontal="center" vertical="top"/>
    </xf>
    <xf numFmtId="0" fontId="383" fillId="5" borderId="3" xfId="0" applyFont="1" applyFill="1" applyBorder="1" applyAlignment="1">
      <alignment horizontal="center" vertical="top"/>
    </xf>
    <xf numFmtId="0" fontId="384" fillId="5" borderId="3" xfId="0" applyFont="1" applyFill="1" applyBorder="1" applyAlignment="1">
      <alignment horizontal="center" vertical="top"/>
    </xf>
    <xf numFmtId="0" fontId="385" fillId="5" borderId="3" xfId="0" applyFont="1" applyFill="1" applyBorder="1" applyAlignment="1">
      <alignment horizontal="center" vertical="top"/>
    </xf>
    <xf numFmtId="0" fontId="386" fillId="5" borderId="3" xfId="0" applyFont="1" applyFill="1" applyBorder="1" applyAlignment="1">
      <alignment horizontal="center" vertical="top"/>
    </xf>
    <xf numFmtId="0" fontId="387" fillId="5" borderId="3" xfId="0" applyFont="1" applyFill="1" applyBorder="1" applyAlignment="1">
      <alignment horizontal="center" vertical="top"/>
    </xf>
    <xf numFmtId="0" fontId="388" fillId="5" borderId="3" xfId="0" applyFont="1" applyFill="1" applyBorder="1" applyAlignment="1">
      <alignment horizontal="center" vertical="top"/>
    </xf>
    <xf numFmtId="0" fontId="389" fillId="5" borderId="3" xfId="0" applyFont="1" applyFill="1" applyBorder="1" applyAlignment="1">
      <alignment horizontal="center" vertical="top"/>
    </xf>
    <xf numFmtId="0" fontId="390" fillId="5" borderId="3" xfId="0" applyFont="1" applyFill="1" applyBorder="1" applyAlignment="1">
      <alignment horizontal="center" vertical="top"/>
    </xf>
    <xf numFmtId="0" fontId="391" fillId="5" borderId="3" xfId="0" applyFont="1" applyFill="1" applyBorder="1" applyAlignment="1">
      <alignment horizontal="center" vertical="top"/>
    </xf>
    <xf numFmtId="0" fontId="392" fillId="5" borderId="3" xfId="0" applyFont="1" applyFill="1" applyBorder="1" applyAlignment="1">
      <alignment horizontal="center" vertical="top"/>
    </xf>
    <xf numFmtId="0" fontId="393" fillId="5" borderId="3" xfId="0" applyFont="1" applyFill="1" applyBorder="1" applyAlignment="1">
      <alignment horizontal="center" vertical="top"/>
    </xf>
    <xf numFmtId="0" fontId="394" fillId="5" borderId="3" xfId="0" applyFont="1" applyFill="1" applyBorder="1" applyAlignment="1">
      <alignment horizontal="center" vertical="top"/>
    </xf>
    <xf numFmtId="0" fontId="395" fillId="5" borderId="3" xfId="0" applyFont="1" applyFill="1" applyBorder="1" applyAlignment="1">
      <alignment horizontal="center" vertical="top"/>
    </xf>
    <xf numFmtId="0" fontId="396" fillId="5" borderId="3" xfId="0" applyFont="1" applyFill="1" applyBorder="1" applyAlignment="1">
      <alignment horizontal="center" vertical="top"/>
    </xf>
    <xf numFmtId="0" fontId="397" fillId="5" borderId="3" xfId="0" applyFont="1" applyFill="1" applyBorder="1" applyAlignment="1">
      <alignment horizontal="center" vertical="top"/>
    </xf>
    <xf numFmtId="0" fontId="398" fillId="5" borderId="3" xfId="0" applyFont="1" applyFill="1" applyBorder="1" applyAlignment="1">
      <alignment horizontal="center" vertical="top"/>
    </xf>
    <xf numFmtId="0" fontId="399" fillId="5" borderId="3" xfId="0" applyFont="1" applyFill="1" applyBorder="1" applyAlignment="1">
      <alignment horizontal="center" vertical="top"/>
    </xf>
    <xf numFmtId="0" fontId="400" fillId="5" borderId="3" xfId="0" applyFont="1" applyFill="1" applyBorder="1" applyAlignment="1">
      <alignment horizontal="center" vertical="top"/>
    </xf>
    <xf numFmtId="0" fontId="401" fillId="5" borderId="3" xfId="0" applyFont="1" applyFill="1" applyBorder="1" applyAlignment="1">
      <alignment horizontal="center" vertical="top"/>
    </xf>
    <xf numFmtId="0" fontId="402" fillId="5" borderId="3" xfId="0" applyFont="1" applyFill="1" applyBorder="1" applyAlignment="1">
      <alignment horizontal="center" vertical="top"/>
    </xf>
    <xf numFmtId="0" fontId="403" fillId="5" borderId="3" xfId="0" applyFont="1" applyFill="1" applyBorder="1" applyAlignment="1">
      <alignment horizontal="center" vertical="top"/>
    </xf>
    <xf numFmtId="0" fontId="404" fillId="5" borderId="3" xfId="0" applyFont="1" applyFill="1" applyBorder="1" applyAlignment="1">
      <alignment horizontal="center" vertical="top"/>
    </xf>
    <xf numFmtId="0" fontId="405" fillId="5" borderId="3" xfId="0" applyFont="1" applyFill="1" applyBorder="1" applyAlignment="1">
      <alignment horizontal="center" vertical="top"/>
    </xf>
    <xf numFmtId="0" fontId="406" fillId="5" borderId="3" xfId="0" applyFont="1" applyFill="1" applyBorder="1" applyAlignment="1">
      <alignment horizontal="center" vertical="top"/>
    </xf>
    <xf numFmtId="0" fontId="407" fillId="5" borderId="3" xfId="0" applyFont="1" applyFill="1" applyBorder="1" applyAlignment="1">
      <alignment horizontal="center" vertical="top"/>
    </xf>
    <xf numFmtId="0" fontId="408" fillId="5" borderId="3" xfId="0" applyFont="1" applyFill="1" applyBorder="1" applyAlignment="1">
      <alignment horizontal="center" vertical="top"/>
    </xf>
    <xf numFmtId="0" fontId="409" fillId="5" borderId="3" xfId="0" applyFont="1" applyFill="1" applyBorder="1" applyAlignment="1">
      <alignment horizontal="center" vertical="top"/>
    </xf>
    <xf numFmtId="0" fontId="410" fillId="5" borderId="3" xfId="0" applyFont="1" applyFill="1" applyBorder="1" applyAlignment="1">
      <alignment horizontal="center" vertical="top"/>
    </xf>
    <xf numFmtId="0" fontId="411" fillId="5" borderId="3" xfId="0" applyFont="1" applyFill="1" applyBorder="1" applyAlignment="1">
      <alignment horizontal="center" vertical="top"/>
    </xf>
    <xf numFmtId="0" fontId="412" fillId="5" borderId="3" xfId="0" applyFont="1" applyFill="1" applyBorder="1" applyAlignment="1">
      <alignment horizontal="center" vertical="top"/>
    </xf>
    <xf numFmtId="0" fontId="413" fillId="5" borderId="3" xfId="0" applyFont="1" applyFill="1" applyBorder="1" applyAlignment="1">
      <alignment horizontal="center" vertical="top"/>
    </xf>
    <xf numFmtId="0" fontId="414" fillId="5" borderId="3" xfId="0" applyFont="1" applyFill="1" applyBorder="1" applyAlignment="1">
      <alignment horizontal="center" vertical="top"/>
    </xf>
    <xf numFmtId="0" fontId="415" fillId="5" borderId="3" xfId="0" applyFont="1" applyFill="1" applyBorder="1" applyAlignment="1">
      <alignment horizontal="center" vertical="top"/>
    </xf>
    <xf numFmtId="0" fontId="416" fillId="5" borderId="3" xfId="0" applyFont="1" applyFill="1" applyBorder="1" applyAlignment="1">
      <alignment horizontal="left" vertical="top" wrapText="1"/>
    </xf>
    <xf numFmtId="0" fontId="417" fillId="5" borderId="3" xfId="0" applyFont="1" applyFill="1" applyBorder="1" applyAlignment="1">
      <alignment horizontal="center" vertical="top"/>
    </xf>
    <xf numFmtId="0" fontId="418" fillId="5" borderId="3" xfId="0" applyFont="1" applyFill="1" applyBorder="1" applyAlignment="1">
      <alignment horizontal="center" vertical="top"/>
    </xf>
    <xf numFmtId="0" fontId="419" fillId="5" borderId="3" xfId="0" applyFont="1" applyFill="1" applyBorder="1" applyAlignment="1">
      <alignment horizontal="left" vertical="top" wrapText="1"/>
    </xf>
    <xf numFmtId="0" fontId="420" fillId="5" borderId="3" xfId="0" applyFont="1" applyFill="1" applyBorder="1" applyAlignment="1">
      <alignment horizontal="center" vertical="top"/>
    </xf>
    <xf numFmtId="0" fontId="421" fillId="5" borderId="3" xfId="0" applyFont="1" applyFill="1" applyBorder="1" applyAlignment="1">
      <alignment horizontal="center" vertical="top"/>
    </xf>
    <xf numFmtId="0" fontId="422" fillId="5" borderId="3" xfId="0" applyFont="1" applyFill="1" applyBorder="1" applyAlignment="1">
      <alignment horizontal="center" vertical="top"/>
    </xf>
    <xf numFmtId="0" fontId="424" fillId="5" borderId="3" xfId="0" applyFont="1" applyFill="1" applyBorder="1" applyAlignment="1">
      <alignment horizontal="left" vertical="top" wrapText="1"/>
    </xf>
    <xf numFmtId="0" fontId="425" fillId="5" borderId="3" xfId="0" applyFont="1" applyFill="1" applyBorder="1" applyAlignment="1">
      <alignment horizontal="left" vertical="top" wrapText="1"/>
    </xf>
    <xf numFmtId="0" fontId="426" fillId="5" borderId="3" xfId="0" applyFont="1" applyFill="1" applyBorder="1" applyAlignment="1">
      <alignment horizontal="left" vertical="top" wrapText="1"/>
    </xf>
    <xf numFmtId="0" fontId="427" fillId="5" borderId="3" xfId="0" applyFont="1" applyFill="1" applyBorder="1" applyAlignment="1">
      <alignment horizontal="left" vertical="top" wrapText="1"/>
    </xf>
    <xf numFmtId="0" fontId="428" fillId="5" borderId="3" xfId="0" applyFont="1" applyFill="1" applyBorder="1" applyAlignment="1">
      <alignment horizontal="left" vertical="top" wrapText="1"/>
    </xf>
    <xf numFmtId="0" fontId="429" fillId="5" borderId="3" xfId="0" applyFont="1" applyFill="1" applyBorder="1" applyAlignment="1">
      <alignment horizontal="left" vertical="top" wrapText="1"/>
    </xf>
    <xf numFmtId="0" fontId="430" fillId="5" borderId="3" xfId="0" applyFont="1" applyFill="1" applyBorder="1" applyAlignment="1">
      <alignment horizontal="left" vertical="top" wrapText="1"/>
    </xf>
    <xf numFmtId="0" fontId="431" fillId="5" borderId="3" xfId="0" applyFont="1" applyFill="1" applyBorder="1" applyAlignment="1">
      <alignment horizontal="left" vertical="top" wrapText="1"/>
    </xf>
    <xf numFmtId="0" fontId="432" fillId="5" borderId="3" xfId="0" applyFont="1" applyFill="1" applyBorder="1" applyAlignment="1">
      <alignment horizontal="center" vertical="top"/>
    </xf>
    <xf numFmtId="0" fontId="433" fillId="5" borderId="3" xfId="0" applyFont="1" applyFill="1" applyBorder="1" applyAlignment="1">
      <alignment horizontal="center" vertical="top"/>
    </xf>
    <xf numFmtId="0" fontId="434" fillId="5" borderId="3" xfId="0" applyFont="1" applyFill="1" applyBorder="1" applyAlignment="1">
      <alignment horizontal="center" vertical="top"/>
    </xf>
    <xf numFmtId="0" fontId="435" fillId="5" borderId="3" xfId="0" applyFont="1" applyFill="1" applyBorder="1" applyAlignment="1">
      <alignment horizontal="center" vertical="top"/>
    </xf>
    <xf numFmtId="0" fontId="436" fillId="5" borderId="3" xfId="0" applyFont="1" applyFill="1" applyBorder="1" applyAlignment="1">
      <alignment horizontal="center" vertical="top"/>
    </xf>
    <xf numFmtId="0" fontId="437" fillId="5" borderId="3" xfId="0" applyFont="1" applyFill="1" applyBorder="1" applyAlignment="1">
      <alignment horizontal="center" vertical="top"/>
    </xf>
    <xf numFmtId="0" fontId="438" fillId="5" borderId="3" xfId="0" applyFont="1" applyFill="1" applyBorder="1" applyAlignment="1">
      <alignment horizontal="center" vertical="top"/>
    </xf>
    <xf numFmtId="49" fontId="0" fillId="0" borderId="0" xfId="0" applyNumberFormat="1"/>
    <xf numFmtId="0" fontId="439" fillId="3" borderId="3" xfId="0" applyFont="1" applyFill="1" applyBorder="1" applyAlignment="1">
      <alignment horizontal="left" vertical="top" wrapText="1"/>
    </xf>
    <xf numFmtId="0" fontId="441" fillId="4" borderId="3" xfId="0" applyFont="1" applyFill="1" applyBorder="1" applyAlignment="1">
      <alignment horizontal="center" vertical="top" wrapText="1"/>
    </xf>
    <xf numFmtId="0" fontId="442" fillId="5" borderId="3" xfId="0" applyFont="1" applyFill="1" applyBorder="1" applyAlignment="1">
      <alignment horizontal="left" vertical="top" wrapText="1"/>
    </xf>
    <xf numFmtId="0" fontId="443" fillId="5" borderId="3" xfId="0" applyFont="1" applyFill="1" applyBorder="1" applyAlignment="1">
      <alignment horizontal="left" vertical="top" wrapText="1"/>
    </xf>
    <xf numFmtId="0" fontId="444" fillId="5" borderId="3" xfId="0" applyFont="1" applyFill="1" applyBorder="1" applyAlignment="1">
      <alignment horizontal="left" vertical="top" wrapText="1"/>
    </xf>
    <xf numFmtId="0" fontId="445" fillId="5" borderId="3" xfId="0" applyFont="1" applyFill="1" applyBorder="1" applyAlignment="1">
      <alignment horizontal="left" vertical="top" wrapText="1"/>
    </xf>
    <xf numFmtId="0" fontId="446" fillId="5" borderId="3" xfId="0" applyFont="1" applyFill="1" applyBorder="1" applyAlignment="1">
      <alignment horizontal="left" vertical="top" wrapText="1"/>
    </xf>
    <xf numFmtId="0" fontId="447" fillId="5" borderId="3" xfId="0" applyFont="1" applyFill="1" applyBorder="1" applyAlignment="1">
      <alignment horizontal="left" vertical="top" wrapText="1"/>
    </xf>
    <xf numFmtId="0" fontId="448" fillId="5" borderId="3" xfId="0" applyFont="1" applyFill="1" applyBorder="1" applyAlignment="1">
      <alignment horizontal="left" vertical="top" wrapText="1"/>
    </xf>
    <xf numFmtId="0" fontId="449" fillId="5" borderId="3" xfId="0" applyFont="1" applyFill="1" applyBorder="1" applyAlignment="1">
      <alignment horizontal="left" vertical="top" wrapText="1"/>
    </xf>
    <xf numFmtId="0" fontId="450" fillId="5" borderId="3" xfId="0" applyFont="1" applyFill="1" applyBorder="1" applyAlignment="1">
      <alignment horizontal="left" vertical="top" wrapText="1"/>
    </xf>
    <xf numFmtId="0" fontId="451" fillId="5" borderId="3" xfId="0" applyFont="1" applyFill="1" applyBorder="1" applyAlignment="1">
      <alignment horizontal="left" vertical="top" wrapText="1"/>
    </xf>
    <xf numFmtId="0" fontId="452" fillId="5" borderId="3" xfId="0" applyFont="1" applyFill="1" applyBorder="1" applyAlignment="1">
      <alignment horizontal="left" vertical="top" wrapText="1"/>
    </xf>
    <xf numFmtId="0" fontId="453" fillId="5" borderId="3" xfId="0" applyFont="1" applyFill="1" applyBorder="1" applyAlignment="1">
      <alignment horizontal="left" vertical="top" wrapText="1"/>
    </xf>
    <xf numFmtId="0" fontId="454" fillId="5" borderId="3" xfId="0" applyFont="1" applyFill="1" applyBorder="1" applyAlignment="1">
      <alignment horizontal="left" vertical="top" wrapText="1"/>
    </xf>
    <xf numFmtId="0" fontId="455" fillId="5" borderId="3" xfId="0" applyFont="1" applyFill="1" applyBorder="1" applyAlignment="1">
      <alignment horizontal="left" vertical="top" wrapText="1"/>
    </xf>
    <xf numFmtId="0" fontId="456" fillId="5" borderId="3" xfId="0" applyFont="1" applyFill="1" applyBorder="1" applyAlignment="1">
      <alignment horizontal="left" vertical="top" wrapText="1"/>
    </xf>
    <xf numFmtId="0" fontId="457" fillId="5" borderId="3" xfId="0" applyFont="1" applyFill="1" applyBorder="1" applyAlignment="1">
      <alignment horizontal="left" vertical="top" wrapText="1"/>
    </xf>
    <xf numFmtId="0" fontId="458" fillId="5" borderId="3" xfId="0" applyFont="1" applyFill="1" applyBorder="1" applyAlignment="1">
      <alignment horizontal="left" vertical="top" wrapText="1"/>
    </xf>
    <xf numFmtId="0" fontId="459" fillId="5" borderId="3" xfId="0" applyFont="1" applyFill="1" applyBorder="1" applyAlignment="1">
      <alignment horizontal="left" vertical="top" wrapText="1"/>
    </xf>
    <xf numFmtId="0" fontId="460" fillId="5" borderId="3" xfId="0" applyFont="1" applyFill="1" applyBorder="1" applyAlignment="1">
      <alignment horizontal="left" vertical="top" wrapText="1"/>
    </xf>
    <xf numFmtId="0" fontId="461" fillId="5" borderId="3" xfId="0" applyFont="1" applyFill="1" applyBorder="1" applyAlignment="1">
      <alignment horizontal="left" vertical="top" wrapText="1"/>
    </xf>
    <xf numFmtId="0" fontId="462" fillId="5" borderId="3" xfId="0" applyFont="1" applyFill="1" applyBorder="1" applyAlignment="1">
      <alignment horizontal="left" vertical="top" wrapText="1"/>
    </xf>
    <xf numFmtId="0" fontId="463" fillId="5" borderId="3" xfId="0" applyFont="1" applyFill="1" applyBorder="1" applyAlignment="1">
      <alignment horizontal="left" vertical="top" wrapText="1"/>
    </xf>
    <xf numFmtId="0" fontId="464" fillId="5" borderId="3" xfId="0" applyFont="1" applyFill="1" applyBorder="1" applyAlignment="1">
      <alignment horizontal="left" vertical="top" wrapText="1"/>
    </xf>
    <xf numFmtId="0" fontId="465" fillId="5" borderId="3" xfId="0" applyFont="1" applyFill="1" applyBorder="1" applyAlignment="1">
      <alignment horizontal="left" vertical="top" wrapText="1"/>
    </xf>
    <xf numFmtId="0" fontId="466" fillId="5" borderId="3" xfId="0" applyFont="1" applyFill="1" applyBorder="1" applyAlignment="1">
      <alignment horizontal="left" vertical="top" wrapText="1"/>
    </xf>
    <xf numFmtId="0" fontId="467" fillId="5" borderId="3" xfId="0" applyFont="1" applyFill="1" applyBorder="1" applyAlignment="1">
      <alignment horizontal="left" vertical="top" wrapText="1"/>
    </xf>
    <xf numFmtId="0" fontId="468" fillId="5" borderId="3" xfId="0" applyFont="1" applyFill="1" applyBorder="1" applyAlignment="1">
      <alignment horizontal="left" vertical="top" wrapText="1"/>
    </xf>
    <xf numFmtId="0" fontId="469" fillId="5" borderId="3" xfId="0" applyFont="1" applyFill="1" applyBorder="1" applyAlignment="1">
      <alignment horizontal="left" vertical="top" wrapText="1"/>
    </xf>
    <xf numFmtId="0" fontId="470" fillId="5" borderId="3" xfId="0" applyFont="1" applyFill="1" applyBorder="1" applyAlignment="1">
      <alignment horizontal="left" vertical="top" wrapText="1"/>
    </xf>
    <xf numFmtId="0" fontId="471" fillId="5" borderId="3" xfId="0" applyFont="1" applyFill="1" applyBorder="1" applyAlignment="1">
      <alignment horizontal="left" vertical="top" wrapText="1"/>
    </xf>
    <xf numFmtId="0" fontId="478" fillId="5" borderId="3" xfId="0" applyFont="1" applyFill="1" applyBorder="1" applyAlignment="1">
      <alignment horizontal="left" vertical="top" wrapText="1"/>
    </xf>
    <xf numFmtId="0" fontId="479" fillId="5" borderId="3" xfId="0" applyFont="1" applyFill="1" applyBorder="1" applyAlignment="1">
      <alignment horizontal="center" vertical="top"/>
    </xf>
    <xf numFmtId="0" fontId="480" fillId="5" borderId="3" xfId="0" applyFont="1" applyFill="1" applyBorder="1" applyAlignment="1">
      <alignment horizontal="center" vertical="top"/>
    </xf>
    <xf numFmtId="0" fontId="481" fillId="5" borderId="3" xfId="0" applyFont="1" applyFill="1" applyBorder="1" applyAlignment="1">
      <alignment horizontal="center" vertical="top"/>
    </xf>
    <xf numFmtId="0" fontId="482" fillId="5" borderId="3" xfId="0" applyFont="1" applyFill="1" applyBorder="1" applyAlignment="1">
      <alignment horizontal="center" vertical="top"/>
    </xf>
    <xf numFmtId="0" fontId="483" fillId="5" borderId="3" xfId="0" applyFont="1" applyFill="1" applyBorder="1" applyAlignment="1">
      <alignment horizontal="left" vertical="top" wrapText="1"/>
    </xf>
    <xf numFmtId="0" fontId="484" fillId="5" borderId="3" xfId="0" applyFont="1" applyFill="1" applyBorder="1" applyAlignment="1">
      <alignment horizontal="center" vertical="top"/>
    </xf>
    <xf numFmtId="0" fontId="485" fillId="5" borderId="3" xfId="0" applyFont="1" applyFill="1" applyBorder="1" applyAlignment="1">
      <alignment horizontal="center" vertical="top"/>
    </xf>
    <xf numFmtId="0" fontId="486" fillId="5" borderId="3" xfId="0" applyFont="1" applyFill="1" applyBorder="1" applyAlignment="1">
      <alignment horizontal="center" vertical="top"/>
    </xf>
    <xf numFmtId="0" fontId="487" fillId="5" borderId="3" xfId="0" applyFont="1" applyFill="1" applyBorder="1" applyAlignment="1">
      <alignment horizontal="left" vertical="top" wrapText="1"/>
    </xf>
    <xf numFmtId="0" fontId="488" fillId="5" borderId="3" xfId="0" applyFont="1" applyFill="1" applyBorder="1" applyAlignment="1">
      <alignment horizontal="center" vertical="top"/>
    </xf>
    <xf numFmtId="0" fontId="489" fillId="5" borderId="3" xfId="0" applyFont="1" applyFill="1" applyBorder="1" applyAlignment="1">
      <alignment horizontal="center" vertical="top"/>
    </xf>
    <xf numFmtId="0" fontId="490" fillId="5" borderId="3" xfId="0" applyFont="1" applyFill="1" applyBorder="1" applyAlignment="1">
      <alignment horizontal="center" vertical="top"/>
    </xf>
    <xf numFmtId="0" fontId="491" fillId="5" borderId="3" xfId="0" applyFont="1" applyFill="1" applyBorder="1" applyAlignment="1">
      <alignment horizontal="center" vertical="top"/>
    </xf>
    <xf numFmtId="0" fontId="492" fillId="5" borderId="3" xfId="0" applyFont="1" applyFill="1" applyBorder="1" applyAlignment="1">
      <alignment horizontal="center" vertical="top"/>
    </xf>
    <xf numFmtId="0" fontId="493" fillId="5" borderId="3" xfId="0" applyFont="1" applyFill="1" applyBorder="1" applyAlignment="1">
      <alignment horizontal="center" vertical="top"/>
    </xf>
    <xf numFmtId="0" fontId="494" fillId="5" borderId="3" xfId="0" applyFont="1" applyFill="1" applyBorder="1" applyAlignment="1">
      <alignment horizontal="left" vertical="top" wrapText="1"/>
    </xf>
    <xf numFmtId="0" fontId="495" fillId="5" borderId="3" xfId="0" applyFont="1" applyFill="1" applyBorder="1" applyAlignment="1">
      <alignment horizontal="left" vertical="top" wrapText="1"/>
    </xf>
    <xf numFmtId="0" fontId="496" fillId="5" borderId="3" xfId="0" applyFont="1" applyFill="1" applyBorder="1" applyAlignment="1">
      <alignment horizontal="left" vertical="top" wrapText="1"/>
    </xf>
    <xf numFmtId="0" fontId="497" fillId="5" borderId="3" xfId="0" applyFont="1" applyFill="1" applyBorder="1" applyAlignment="1">
      <alignment horizontal="left" vertical="top" wrapText="1"/>
    </xf>
    <xf numFmtId="0" fontId="498" fillId="5" borderId="3" xfId="0" applyFont="1" applyFill="1" applyBorder="1" applyAlignment="1">
      <alignment horizontal="left" vertical="top" wrapText="1"/>
    </xf>
    <xf numFmtId="0" fontId="499" fillId="5" borderId="3" xfId="0" applyFont="1" applyFill="1" applyBorder="1" applyAlignment="1">
      <alignment horizontal="left" vertical="top" wrapText="1"/>
    </xf>
    <xf numFmtId="0" fontId="500" fillId="5" borderId="3" xfId="0" applyFont="1" applyFill="1" applyBorder="1" applyAlignment="1">
      <alignment horizontal="center" vertical="top"/>
    </xf>
    <xf numFmtId="0" fontId="501" fillId="5" borderId="3" xfId="0" applyFont="1" applyFill="1" applyBorder="1" applyAlignment="1">
      <alignment horizontal="center" vertical="top"/>
    </xf>
    <xf numFmtId="0" fontId="502" fillId="5" borderId="3" xfId="0" applyFont="1" applyFill="1" applyBorder="1" applyAlignment="1">
      <alignment horizontal="center" vertical="top"/>
    </xf>
    <xf numFmtId="0" fontId="503" fillId="5" borderId="3" xfId="0" applyFont="1" applyFill="1" applyBorder="1" applyAlignment="1">
      <alignment horizontal="center" vertical="top"/>
    </xf>
    <xf numFmtId="0" fontId="504" fillId="5" borderId="3" xfId="0" applyFont="1" applyFill="1" applyBorder="1" applyAlignment="1">
      <alignment horizontal="center" vertical="top"/>
    </xf>
    <xf numFmtId="0" fontId="505" fillId="5" borderId="3" xfId="0" applyFont="1" applyFill="1" applyBorder="1" applyAlignment="1">
      <alignment horizontal="center" vertical="top"/>
    </xf>
    <xf numFmtId="0" fontId="506" fillId="5" borderId="3" xfId="0" applyFont="1" applyFill="1" applyBorder="1" applyAlignment="1">
      <alignment horizontal="left" vertical="top" wrapText="1"/>
    </xf>
    <xf numFmtId="0" fontId="507" fillId="5" borderId="3" xfId="0" applyFont="1" applyFill="1" applyBorder="1" applyAlignment="1">
      <alignment horizontal="left" vertical="top" wrapText="1"/>
    </xf>
    <xf numFmtId="0" fontId="508" fillId="5" borderId="3" xfId="0" applyFont="1" applyFill="1" applyBorder="1" applyAlignment="1">
      <alignment horizontal="left" vertical="top" wrapText="1"/>
    </xf>
    <xf numFmtId="0" fontId="509" fillId="5" borderId="3" xfId="0" applyFont="1" applyFill="1" applyBorder="1" applyAlignment="1">
      <alignment horizontal="left" vertical="top" wrapText="1"/>
    </xf>
    <xf numFmtId="0" fontId="526" fillId="5" borderId="3" xfId="0" applyFont="1" applyFill="1" applyBorder="1" applyAlignment="1">
      <alignment horizontal="left" vertical="top" wrapText="1"/>
    </xf>
    <xf numFmtId="0" fontId="527" fillId="5" borderId="3" xfId="0" applyFont="1" applyFill="1" applyBorder="1" applyAlignment="1">
      <alignment horizontal="left" vertical="top" wrapText="1"/>
    </xf>
    <xf numFmtId="0" fontId="528" fillId="5" borderId="3" xfId="0" applyFont="1" applyFill="1" applyBorder="1" applyAlignment="1">
      <alignment horizontal="center" vertical="top"/>
    </xf>
    <xf numFmtId="0" fontId="529" fillId="5" borderId="3" xfId="0" applyFont="1" applyFill="1" applyBorder="1" applyAlignment="1">
      <alignment horizontal="center" vertical="top"/>
    </xf>
    <xf numFmtId="0" fontId="530" fillId="5" borderId="3" xfId="0" applyFont="1" applyFill="1" applyBorder="1" applyAlignment="1">
      <alignment horizontal="center" vertical="top"/>
    </xf>
    <xf numFmtId="0" fontId="531" fillId="5" borderId="3" xfId="0" applyFont="1" applyFill="1" applyBorder="1" applyAlignment="1">
      <alignment horizontal="center" vertical="top"/>
    </xf>
    <xf numFmtId="0" fontId="532" fillId="5" borderId="3" xfId="0" applyFont="1" applyFill="1" applyBorder="1" applyAlignment="1">
      <alignment horizontal="center" vertical="top"/>
    </xf>
    <xf numFmtId="0" fontId="533" fillId="5" borderId="3" xfId="0" applyFont="1" applyFill="1" applyBorder="1" applyAlignment="1">
      <alignment horizontal="center" vertical="top"/>
    </xf>
    <xf numFmtId="0" fontId="534" fillId="5" borderId="3" xfId="0" applyFont="1" applyFill="1" applyBorder="1" applyAlignment="1">
      <alignment horizontal="center" vertical="top"/>
    </xf>
    <xf numFmtId="0" fontId="535" fillId="5" borderId="3" xfId="0" applyFont="1" applyFill="1" applyBorder="1" applyAlignment="1">
      <alignment horizontal="center" vertical="top"/>
    </xf>
    <xf numFmtId="0" fontId="536" fillId="5" borderId="3" xfId="0" applyFont="1" applyFill="1" applyBorder="1" applyAlignment="1">
      <alignment horizontal="left" vertical="top" wrapText="1"/>
    </xf>
    <xf numFmtId="0" fontId="537" fillId="5" borderId="3" xfId="0" applyFont="1" applyFill="1" applyBorder="1" applyAlignment="1">
      <alignment horizontal="center" vertical="top"/>
    </xf>
    <xf numFmtId="0" fontId="538" fillId="5" borderId="3" xfId="0" applyFont="1" applyFill="1" applyBorder="1" applyAlignment="1">
      <alignment horizontal="left" vertical="top" wrapText="1"/>
    </xf>
    <xf numFmtId="0" fontId="539" fillId="5" borderId="3" xfId="0" applyFont="1" applyFill="1" applyBorder="1" applyAlignment="1">
      <alignment horizontal="left" vertical="top" wrapText="1"/>
    </xf>
    <xf numFmtId="0" fontId="540" fillId="5" borderId="3" xfId="0" applyFont="1" applyFill="1" applyBorder="1" applyAlignment="1">
      <alignment horizontal="center" vertical="top"/>
    </xf>
    <xf numFmtId="0" fontId="541" fillId="5" borderId="3" xfId="0" applyFont="1" applyFill="1" applyBorder="1" applyAlignment="1">
      <alignment horizontal="center" vertical="top"/>
    </xf>
    <xf numFmtId="0" fontId="542" fillId="5" borderId="3" xfId="0" applyFont="1" applyFill="1" applyBorder="1" applyAlignment="1">
      <alignment horizontal="left" vertical="top" wrapText="1"/>
    </xf>
    <xf numFmtId="0" fontId="543" fillId="5" borderId="3" xfId="0" applyFont="1" applyFill="1" applyBorder="1" applyAlignment="1">
      <alignment horizontal="center" vertical="top"/>
    </xf>
    <xf numFmtId="0" fontId="544" fillId="5" borderId="3" xfId="0" applyFont="1" applyFill="1" applyBorder="1" applyAlignment="1">
      <alignment horizontal="center" vertical="top"/>
    </xf>
    <xf numFmtId="0" fontId="545" fillId="5" borderId="3" xfId="0" applyFont="1" applyFill="1" applyBorder="1" applyAlignment="1">
      <alignment horizontal="center" vertical="top"/>
    </xf>
    <xf numFmtId="0" fontId="546" fillId="5" borderId="3" xfId="0" applyFont="1" applyFill="1" applyBorder="1" applyAlignment="1">
      <alignment horizontal="center" vertical="top"/>
    </xf>
    <xf numFmtId="0" fontId="547" fillId="5" borderId="3" xfId="0" applyFont="1" applyFill="1" applyBorder="1" applyAlignment="1">
      <alignment horizontal="center" vertical="top"/>
    </xf>
    <xf numFmtId="0" fontId="548" fillId="5" borderId="3" xfId="0" applyFont="1" applyFill="1" applyBorder="1" applyAlignment="1">
      <alignment horizontal="center" vertical="top"/>
    </xf>
    <xf numFmtId="0" fontId="549" fillId="5" borderId="3" xfId="0" applyFont="1" applyFill="1" applyBorder="1" applyAlignment="1">
      <alignment horizontal="center" vertical="top"/>
    </xf>
    <xf numFmtId="0" fontId="550" fillId="5" borderId="3" xfId="0" applyFont="1" applyFill="1" applyBorder="1" applyAlignment="1">
      <alignment horizontal="center" vertical="top"/>
    </xf>
    <xf numFmtId="0" fontId="551" fillId="5" borderId="3" xfId="0" applyFont="1" applyFill="1" applyBorder="1" applyAlignment="1">
      <alignment horizontal="center" vertical="top"/>
    </xf>
    <xf numFmtId="0" fontId="552" fillId="5" borderId="3" xfId="0" applyFont="1" applyFill="1" applyBorder="1" applyAlignment="1">
      <alignment horizontal="center" vertical="top"/>
    </xf>
    <xf numFmtId="0" fontId="553" fillId="5" borderId="3" xfId="0" applyFont="1" applyFill="1" applyBorder="1" applyAlignment="1">
      <alignment horizontal="center" vertical="top"/>
    </xf>
    <xf numFmtId="0" fontId="554" fillId="5" borderId="3" xfId="0" applyFont="1" applyFill="1" applyBorder="1" applyAlignment="1">
      <alignment horizontal="left" vertical="top" wrapText="1"/>
    </xf>
    <xf numFmtId="0" fontId="555" fillId="5" borderId="3" xfId="0" applyFont="1" applyFill="1" applyBorder="1" applyAlignment="1">
      <alignment horizontal="left" vertical="top" wrapText="1"/>
    </xf>
    <xf numFmtId="0" fontId="556" fillId="5" borderId="3" xfId="0" applyFont="1" applyFill="1" applyBorder="1" applyAlignment="1">
      <alignment horizontal="left" vertical="top" wrapText="1"/>
    </xf>
    <xf numFmtId="0" fontId="557" fillId="5" borderId="3" xfId="0" applyFont="1" applyFill="1" applyBorder="1" applyAlignment="1">
      <alignment horizontal="left" vertical="top" wrapText="1"/>
    </xf>
    <xf numFmtId="0" fontId="558" fillId="5" borderId="3" xfId="0" applyFont="1" applyFill="1" applyBorder="1" applyAlignment="1">
      <alignment horizontal="left" vertical="top" wrapText="1"/>
    </xf>
    <xf numFmtId="0" fontId="559" fillId="5" borderId="3" xfId="0" applyFont="1" applyFill="1" applyBorder="1" applyAlignment="1">
      <alignment horizontal="left" vertical="top" wrapText="1"/>
    </xf>
    <xf numFmtId="0" fontId="560" fillId="5" borderId="3" xfId="0" applyFont="1" applyFill="1" applyBorder="1" applyAlignment="1">
      <alignment horizontal="left" vertical="top" wrapText="1"/>
    </xf>
    <xf numFmtId="0" fontId="568" fillId="5" borderId="3" xfId="0" applyFont="1" applyFill="1" applyBorder="1" applyAlignment="1">
      <alignment horizontal="left" vertical="top" wrapText="1"/>
    </xf>
    <xf numFmtId="0" fontId="569" fillId="5" borderId="3" xfId="0" applyFont="1" applyFill="1" applyBorder="1" applyAlignment="1">
      <alignment horizontal="left" vertical="top" wrapText="1"/>
    </xf>
    <xf numFmtId="0" fontId="570" fillId="5" borderId="3" xfId="0" applyFont="1" applyFill="1" applyBorder="1" applyAlignment="1">
      <alignment horizontal="left" vertical="top" wrapText="1"/>
    </xf>
    <xf numFmtId="0" fontId="572" fillId="5" borderId="3" xfId="0" applyFont="1" applyFill="1" applyBorder="1" applyAlignment="1">
      <alignment horizontal="left" vertical="top" wrapText="1"/>
    </xf>
    <xf numFmtId="0" fontId="573" fillId="5" borderId="3" xfId="0" applyFont="1" applyFill="1" applyBorder="1" applyAlignment="1">
      <alignment horizontal="left" vertical="top" wrapText="1"/>
    </xf>
    <xf numFmtId="0" fontId="574" fillId="5" borderId="3" xfId="0" applyFont="1" applyFill="1" applyBorder="1" applyAlignment="1">
      <alignment horizontal="left" vertical="top" wrapText="1"/>
    </xf>
    <xf numFmtId="0" fontId="575" fillId="5" borderId="3" xfId="0" applyFont="1" applyFill="1" applyBorder="1" applyAlignment="1">
      <alignment horizontal="left" vertical="top" wrapText="1"/>
    </xf>
    <xf numFmtId="0" fontId="576" fillId="5" borderId="3" xfId="0" applyFont="1" applyFill="1" applyBorder="1" applyAlignment="1">
      <alignment horizontal="left" vertical="top" wrapText="1"/>
    </xf>
    <xf numFmtId="0" fontId="589" fillId="5" borderId="3" xfId="0" applyFont="1" applyFill="1" applyBorder="1" applyAlignment="1">
      <alignment horizontal="left" vertical="top" wrapText="1"/>
    </xf>
    <xf numFmtId="0" fontId="590" fillId="5" borderId="3" xfId="0" applyFont="1" applyFill="1" applyBorder="1" applyAlignment="1">
      <alignment horizontal="left" vertical="top" wrapText="1"/>
    </xf>
    <xf numFmtId="0" fontId="592" fillId="5" borderId="3" xfId="0" applyFont="1" applyFill="1" applyBorder="1" applyAlignment="1">
      <alignment horizontal="left" vertical="top" wrapText="1"/>
    </xf>
    <xf numFmtId="0" fontId="593" fillId="5" borderId="3" xfId="0" applyFont="1" applyFill="1" applyBorder="1" applyAlignment="1">
      <alignment horizontal="left" vertical="top" wrapText="1"/>
    </xf>
    <xf numFmtId="0" fontId="594" fillId="5" borderId="3" xfId="0" applyFont="1" applyFill="1" applyBorder="1" applyAlignment="1">
      <alignment horizontal="left" vertical="top" wrapText="1"/>
    </xf>
    <xf numFmtId="0" fontId="605" fillId="5" borderId="3" xfId="0" applyFont="1" applyFill="1" applyBorder="1" applyAlignment="1">
      <alignment horizontal="left" vertical="top" wrapText="1"/>
    </xf>
    <xf numFmtId="0" fontId="606" fillId="5" borderId="3" xfId="0" applyFont="1" applyFill="1" applyBorder="1" applyAlignment="1">
      <alignment horizontal="left" vertical="top" wrapText="1"/>
    </xf>
    <xf numFmtId="0" fontId="607" fillId="5" borderId="3" xfId="0" applyFont="1" applyFill="1" applyBorder="1" applyAlignment="1">
      <alignment horizontal="left" vertical="top" wrapText="1"/>
    </xf>
    <xf numFmtId="0" fontId="608" fillId="5" borderId="3" xfId="0" applyFont="1" applyFill="1" applyBorder="1" applyAlignment="1">
      <alignment horizontal="left" vertical="top" wrapText="1"/>
    </xf>
    <xf numFmtId="0" fontId="609" fillId="5" borderId="3" xfId="0" applyFont="1" applyFill="1" applyBorder="1" applyAlignment="1">
      <alignment horizontal="left" vertical="top" wrapText="1"/>
    </xf>
    <xf numFmtId="0" fontId="610" fillId="5" borderId="3" xfId="0" applyFont="1" applyFill="1" applyBorder="1" applyAlignment="1">
      <alignment horizontal="left" vertical="top" wrapText="1"/>
    </xf>
    <xf numFmtId="0" fontId="611" fillId="5" borderId="3" xfId="0" applyFont="1" applyFill="1" applyBorder="1" applyAlignment="1">
      <alignment horizontal="left" vertical="top" wrapText="1"/>
    </xf>
    <xf numFmtId="0" fontId="612" fillId="5" borderId="3" xfId="0" applyFont="1" applyFill="1" applyBorder="1" applyAlignment="1">
      <alignment horizontal="left" vertical="top" wrapText="1"/>
    </xf>
    <xf numFmtId="0" fontId="613" fillId="5" borderId="3" xfId="0" applyFont="1" applyFill="1" applyBorder="1" applyAlignment="1">
      <alignment horizontal="left" vertical="top" wrapText="1"/>
    </xf>
    <xf numFmtId="0" fontId="614" fillId="5" borderId="3" xfId="0" applyFont="1" applyFill="1" applyBorder="1" applyAlignment="1">
      <alignment horizontal="left" vertical="top" wrapText="1"/>
    </xf>
    <xf numFmtId="0" fontId="615" fillId="5" borderId="3" xfId="0" applyFont="1" applyFill="1" applyBorder="1" applyAlignment="1">
      <alignment horizontal="left" vertical="top" wrapText="1"/>
    </xf>
    <xf numFmtId="0" fontId="616" fillId="5" borderId="3" xfId="0" applyFont="1" applyFill="1" applyBorder="1" applyAlignment="1">
      <alignment horizontal="left" vertical="top" wrapText="1"/>
    </xf>
    <xf numFmtId="0" fontId="617" fillId="5" borderId="3" xfId="0" applyFont="1" applyFill="1" applyBorder="1" applyAlignment="1">
      <alignment horizontal="left" vertical="top" wrapText="1"/>
    </xf>
    <xf numFmtId="0" fontId="618" fillId="5" borderId="3" xfId="0" applyFont="1" applyFill="1" applyBorder="1" applyAlignment="1">
      <alignment horizontal="left" vertical="top" wrapText="1"/>
    </xf>
    <xf numFmtId="0" fontId="619" fillId="5" borderId="3" xfId="0" applyFont="1" applyFill="1" applyBorder="1" applyAlignment="1">
      <alignment horizontal="left" vertical="top" wrapText="1"/>
    </xf>
    <xf numFmtId="0" fontId="620" fillId="5" borderId="3" xfId="0" applyFont="1" applyFill="1" applyBorder="1" applyAlignment="1">
      <alignment horizontal="left" vertical="top" wrapText="1"/>
    </xf>
    <xf numFmtId="0" fontId="621" fillId="5" borderId="3" xfId="0" applyFont="1" applyFill="1" applyBorder="1" applyAlignment="1">
      <alignment horizontal="left" vertical="top" wrapText="1"/>
    </xf>
    <xf numFmtId="0" fontId="622" fillId="5" borderId="3" xfId="0" applyFont="1" applyFill="1" applyBorder="1" applyAlignment="1">
      <alignment horizontal="left" vertical="top" wrapText="1"/>
    </xf>
    <xf numFmtId="0" fontId="623" fillId="5" borderId="3" xfId="0" applyFont="1" applyFill="1" applyBorder="1" applyAlignment="1">
      <alignment horizontal="left" vertical="top" wrapText="1"/>
    </xf>
    <xf numFmtId="0" fontId="624" fillId="5" borderId="3" xfId="0" applyFont="1" applyFill="1" applyBorder="1" applyAlignment="1">
      <alignment horizontal="left" vertical="top" wrapText="1"/>
    </xf>
    <xf numFmtId="0" fontId="625" fillId="5" borderId="3" xfId="0" applyFont="1" applyFill="1" applyBorder="1" applyAlignment="1">
      <alignment horizontal="left" vertical="top" wrapText="1"/>
    </xf>
    <xf numFmtId="0" fontId="626" fillId="5" borderId="3" xfId="0" applyFont="1" applyFill="1" applyBorder="1" applyAlignment="1">
      <alignment horizontal="left" vertical="top" wrapText="1"/>
    </xf>
    <xf numFmtId="0" fontId="627" fillId="5" borderId="3" xfId="0" applyFont="1" applyFill="1" applyBorder="1" applyAlignment="1">
      <alignment horizontal="left" vertical="top" wrapText="1"/>
    </xf>
    <xf numFmtId="0" fontId="629" fillId="5" borderId="3" xfId="0" applyFont="1" applyFill="1" applyBorder="1" applyAlignment="1">
      <alignment horizontal="left" vertical="top" wrapText="1"/>
    </xf>
    <xf numFmtId="0" fontId="630" fillId="5" borderId="3" xfId="0" applyFont="1" applyFill="1" applyBorder="1" applyAlignment="1">
      <alignment horizontal="left" vertical="top" wrapText="1"/>
    </xf>
    <xf numFmtId="0" fontId="631" fillId="5" borderId="3" xfId="0" applyFont="1" applyFill="1" applyBorder="1" applyAlignment="1">
      <alignment horizontal="left" vertical="top" wrapText="1"/>
    </xf>
    <xf numFmtId="0" fontId="632" fillId="5" borderId="3" xfId="0" applyFont="1" applyFill="1" applyBorder="1" applyAlignment="1">
      <alignment horizontal="left" vertical="top" wrapText="1"/>
    </xf>
    <xf numFmtId="0" fontId="633" fillId="5" borderId="3" xfId="0" applyFont="1" applyFill="1" applyBorder="1" applyAlignment="1">
      <alignment horizontal="left" vertical="top" wrapText="1"/>
    </xf>
    <xf numFmtId="0" fontId="634" fillId="5" borderId="3" xfId="0" applyFont="1" applyFill="1" applyBorder="1" applyAlignment="1">
      <alignment horizontal="left" vertical="top" wrapText="1"/>
    </xf>
    <xf numFmtId="0" fontId="635" fillId="5" borderId="3" xfId="0" applyFont="1" applyFill="1" applyBorder="1" applyAlignment="1">
      <alignment horizontal="center" vertical="top"/>
    </xf>
    <xf numFmtId="0" fontId="636" fillId="5" borderId="3" xfId="0" applyFont="1" applyFill="1" applyBorder="1" applyAlignment="1">
      <alignment horizontal="center" vertical="top"/>
    </xf>
    <xf numFmtId="0" fontId="637" fillId="5" borderId="3" xfId="0" applyFont="1" applyFill="1" applyBorder="1" applyAlignment="1">
      <alignment horizontal="center" vertical="top"/>
    </xf>
    <xf numFmtId="0" fontId="638" fillId="5" borderId="3" xfId="0" applyFont="1" applyFill="1" applyBorder="1" applyAlignment="1">
      <alignment horizontal="center" vertical="top"/>
    </xf>
    <xf numFmtId="0" fontId="639" fillId="5" borderId="3" xfId="0" applyFont="1" applyFill="1" applyBorder="1" applyAlignment="1">
      <alignment horizontal="center" vertical="top"/>
    </xf>
    <xf numFmtId="0" fontId="640" fillId="5" borderId="3" xfId="0" applyFont="1" applyFill="1" applyBorder="1" applyAlignment="1">
      <alignment horizontal="center" vertical="top"/>
    </xf>
    <xf numFmtId="0" fontId="641" fillId="5" borderId="3" xfId="0" applyFont="1" applyFill="1" applyBorder="1" applyAlignment="1">
      <alignment horizontal="center" vertical="top"/>
    </xf>
    <xf numFmtId="0" fontId="652" fillId="5" borderId="3" xfId="0" applyFont="1" applyFill="1" applyBorder="1" applyAlignment="1">
      <alignment horizontal="left" vertical="top" wrapText="1"/>
    </xf>
    <xf numFmtId="0" fontId="653" fillId="5" borderId="3" xfId="0" applyFont="1" applyFill="1" applyBorder="1" applyAlignment="1">
      <alignment horizontal="left" vertical="top" wrapText="1"/>
    </xf>
    <xf numFmtId="0" fontId="654" fillId="5" borderId="3" xfId="0" applyFont="1" applyFill="1" applyBorder="1" applyAlignment="1">
      <alignment horizontal="left" vertical="top" wrapText="1"/>
    </xf>
    <xf numFmtId="0" fontId="662" fillId="5" borderId="3" xfId="0" applyFont="1" applyFill="1" applyBorder="1" applyAlignment="1">
      <alignment horizontal="left" vertical="top" wrapText="1"/>
    </xf>
    <xf numFmtId="0" fontId="663" fillId="5" borderId="3" xfId="0" applyFont="1" applyFill="1" applyBorder="1" applyAlignment="1">
      <alignment horizontal="left" vertical="top" wrapText="1"/>
    </xf>
    <xf numFmtId="0" fontId="664" fillId="5" borderId="3" xfId="0" applyFont="1" applyFill="1" applyBorder="1" applyAlignment="1">
      <alignment horizontal="left" vertical="top" wrapText="1"/>
    </xf>
    <xf numFmtId="0" fontId="665" fillId="5" borderId="3" xfId="0" applyFont="1" applyFill="1" applyBorder="1" applyAlignment="1">
      <alignment horizontal="left" vertical="top" wrapText="1"/>
    </xf>
    <xf numFmtId="0" fontId="667" fillId="5" borderId="3" xfId="0" applyFont="1" applyFill="1" applyBorder="1" applyAlignment="1">
      <alignment horizontal="left" vertical="top" wrapText="1"/>
    </xf>
    <xf numFmtId="0" fontId="668" fillId="5" borderId="3" xfId="0" applyFont="1" applyFill="1" applyBorder="1" applyAlignment="1">
      <alignment horizontal="left" vertical="top" wrapText="1"/>
    </xf>
    <xf numFmtId="0" fontId="669" fillId="5" borderId="3" xfId="0" applyFont="1" applyFill="1" applyBorder="1" applyAlignment="1">
      <alignment horizontal="left" vertical="top" wrapText="1"/>
    </xf>
    <xf numFmtId="49" fontId="0" fillId="0" borderId="0" xfId="0" applyNumberFormat="1"/>
    <xf numFmtId="0" fontId="670" fillId="3" borderId="3" xfId="0" applyFont="1" applyFill="1" applyBorder="1" applyAlignment="1">
      <alignment horizontal="left" vertical="top" wrapText="1"/>
    </xf>
    <xf numFmtId="0" fontId="673" fillId="4" borderId="3" xfId="0" applyFont="1" applyFill="1" applyBorder="1" applyAlignment="1">
      <alignment horizontal="center" vertical="top" wrapText="1"/>
    </xf>
    <xf numFmtId="0" fontId="679" fillId="5" borderId="3" xfId="0" applyFont="1" applyFill="1" applyBorder="1" applyAlignment="1">
      <alignment horizontal="left" vertical="top" wrapText="1"/>
    </xf>
    <xf numFmtId="0" fontId="687" fillId="5" borderId="3" xfId="0" applyFont="1" applyFill="1" applyBorder="1" applyAlignment="1">
      <alignment horizontal="left" vertical="top" wrapText="1"/>
    </xf>
    <xf numFmtId="0" fontId="696" fillId="5" borderId="3" xfId="0" applyFont="1" applyFill="1" applyBorder="1" applyAlignment="1">
      <alignment horizontal="left" vertical="top" wrapText="1"/>
    </xf>
    <xf numFmtId="0" fontId="698" fillId="5" borderId="3" xfId="0" applyFont="1" applyFill="1" applyBorder="1" applyAlignment="1">
      <alignment horizontal="left" vertical="top" wrapText="1"/>
    </xf>
    <xf numFmtId="0" fontId="699" fillId="5" borderId="3" xfId="0" applyFont="1" applyFill="1" applyBorder="1" applyAlignment="1">
      <alignment horizontal="left" vertical="top" wrapText="1"/>
    </xf>
    <xf numFmtId="0" fontId="700" fillId="5" borderId="3" xfId="0" applyFont="1" applyFill="1" applyBorder="1" applyAlignment="1">
      <alignment horizontal="left" vertical="top" wrapText="1"/>
    </xf>
    <xf numFmtId="0" fontId="701" fillId="5" borderId="3" xfId="0" applyFont="1" applyFill="1" applyBorder="1" applyAlignment="1">
      <alignment horizontal="left" vertical="top" wrapText="1"/>
    </xf>
    <xf numFmtId="0" fontId="702" fillId="5" borderId="3" xfId="0" applyFont="1" applyFill="1" applyBorder="1" applyAlignment="1">
      <alignment horizontal="left" vertical="top" wrapText="1"/>
    </xf>
    <xf numFmtId="0" fontId="703" fillId="5" borderId="3" xfId="0" applyFont="1" applyFill="1" applyBorder="1" applyAlignment="1">
      <alignment horizontal="left" vertical="top" wrapText="1"/>
    </xf>
    <xf numFmtId="0" fontId="704" fillId="5" borderId="3" xfId="0" applyFont="1" applyFill="1" applyBorder="1" applyAlignment="1">
      <alignment horizontal="left" vertical="top" wrapText="1"/>
    </xf>
    <xf numFmtId="0" fontId="705" fillId="5" borderId="3" xfId="0" applyFont="1" applyFill="1" applyBorder="1" applyAlignment="1">
      <alignment horizontal="left" vertical="top" wrapText="1"/>
    </xf>
    <xf numFmtId="0" fontId="706" fillId="5" borderId="3" xfId="0" applyFont="1" applyFill="1" applyBorder="1" applyAlignment="1">
      <alignment horizontal="left" vertical="top" wrapText="1"/>
    </xf>
    <xf numFmtId="0" fontId="707" fillId="5" borderId="3" xfId="0" applyFont="1" applyFill="1" applyBorder="1" applyAlignment="1">
      <alignment horizontal="left" vertical="top" wrapText="1"/>
    </xf>
    <xf numFmtId="0" fontId="708" fillId="5" borderId="3" xfId="0" applyFont="1" applyFill="1" applyBorder="1" applyAlignment="1">
      <alignment horizontal="left" vertical="top" wrapText="1"/>
    </xf>
    <xf numFmtId="0" fontId="709" fillId="5" borderId="3" xfId="0" applyFont="1" applyFill="1" applyBorder="1" applyAlignment="1">
      <alignment horizontal="left" vertical="top" wrapText="1"/>
    </xf>
    <xf numFmtId="0" fontId="721" fillId="5" borderId="3" xfId="0" applyFont="1" applyFill="1" applyBorder="1" applyAlignment="1">
      <alignment horizontal="left" vertical="top" wrapText="1"/>
    </xf>
    <xf numFmtId="0" fontId="727" fillId="5" borderId="3" xfId="0" applyFont="1" applyFill="1" applyBorder="1" applyAlignment="1">
      <alignment horizontal="left" vertical="top" wrapText="1"/>
    </xf>
    <xf numFmtId="0" fontId="729" fillId="5" borderId="3" xfId="0" applyFont="1" applyFill="1" applyBorder="1" applyAlignment="1">
      <alignment horizontal="left" vertical="top" wrapText="1"/>
    </xf>
    <xf numFmtId="0" fontId="730" fillId="5" borderId="3" xfId="0" applyFont="1" applyFill="1" applyBorder="1" applyAlignment="1">
      <alignment horizontal="left" vertical="top" wrapText="1"/>
    </xf>
    <xf numFmtId="0" fontId="731" fillId="5" borderId="3" xfId="0" applyFont="1" applyFill="1" applyBorder="1" applyAlignment="1">
      <alignment horizontal="left" vertical="top" wrapText="1"/>
    </xf>
    <xf numFmtId="0" fontId="732" fillId="5" borderId="3" xfId="0" applyFont="1" applyFill="1" applyBorder="1" applyAlignment="1">
      <alignment horizontal="left" vertical="top" wrapText="1"/>
    </xf>
    <xf numFmtId="0" fontId="733" fillId="5" borderId="3" xfId="0" applyFont="1" applyFill="1" applyBorder="1" applyAlignment="1">
      <alignment horizontal="left" vertical="top" wrapText="1"/>
    </xf>
    <xf numFmtId="0" fontId="734" fillId="5" borderId="3" xfId="0" applyFont="1" applyFill="1" applyBorder="1" applyAlignment="1">
      <alignment horizontal="left" vertical="top" wrapText="1"/>
    </xf>
    <xf numFmtId="0" fontId="735" fillId="5" borderId="3" xfId="0" applyFont="1" applyFill="1" applyBorder="1" applyAlignment="1">
      <alignment horizontal="center" vertical="top"/>
    </xf>
    <xf numFmtId="0" fontId="736" fillId="5" borderId="3" xfId="0" applyFont="1" applyFill="1" applyBorder="1" applyAlignment="1">
      <alignment horizontal="center" vertical="top"/>
    </xf>
    <xf numFmtId="0" fontId="737" fillId="5" borderId="3" xfId="0" applyFont="1" applyFill="1" applyBorder="1" applyAlignment="1">
      <alignment horizontal="left" vertical="top" wrapText="1"/>
    </xf>
    <xf numFmtId="0" fontId="738" fillId="5" borderId="3" xfId="0" applyFont="1" applyFill="1" applyBorder="1" applyAlignment="1">
      <alignment horizontal="left" vertical="top" wrapText="1"/>
    </xf>
    <xf numFmtId="0" fontId="739" fillId="5" borderId="3" xfId="0" applyFont="1" applyFill="1" applyBorder="1" applyAlignment="1">
      <alignment horizontal="left" vertical="top" wrapText="1"/>
    </xf>
    <xf numFmtId="0" fontId="740" fillId="5" borderId="3" xfId="0" applyFont="1" applyFill="1" applyBorder="1" applyAlignment="1">
      <alignment horizontal="left" vertical="top" wrapText="1"/>
    </xf>
    <xf numFmtId="0" fontId="741" fillId="5" borderId="3" xfId="0" applyFont="1" applyFill="1" applyBorder="1" applyAlignment="1">
      <alignment horizontal="left" vertical="top" wrapText="1"/>
    </xf>
    <xf numFmtId="0" fontId="745" fillId="5" borderId="3" xfId="0" applyFont="1" applyFill="1" applyBorder="1" applyAlignment="1">
      <alignment horizontal="left" vertical="top" wrapText="1"/>
    </xf>
    <xf numFmtId="0" fontId="746" fillId="5" borderId="3" xfId="0" applyFont="1" applyFill="1" applyBorder="1" applyAlignment="1">
      <alignment horizontal="left" vertical="top" wrapText="1"/>
    </xf>
    <xf numFmtId="0" fontId="747" fillId="5" borderId="3" xfId="0" applyFont="1" applyFill="1" applyBorder="1" applyAlignment="1">
      <alignment horizontal="left" vertical="top" wrapText="1"/>
    </xf>
    <xf numFmtId="0" fontId="748" fillId="5" borderId="3" xfId="0" applyFont="1" applyFill="1" applyBorder="1" applyAlignment="1">
      <alignment horizontal="left" vertical="top" wrapText="1"/>
    </xf>
    <xf numFmtId="0" fontId="749" fillId="5" borderId="3" xfId="0" applyFont="1" applyFill="1" applyBorder="1" applyAlignment="1">
      <alignment horizontal="left" vertical="top" wrapText="1"/>
    </xf>
    <xf numFmtId="0" fontId="750" fillId="5" borderId="3" xfId="0" applyFont="1" applyFill="1" applyBorder="1" applyAlignment="1">
      <alignment horizontal="left" vertical="top" wrapText="1"/>
    </xf>
    <xf numFmtId="0" fontId="751" fillId="5" borderId="3" xfId="0" applyFont="1" applyFill="1" applyBorder="1" applyAlignment="1">
      <alignment horizontal="left" vertical="top" wrapText="1"/>
    </xf>
    <xf numFmtId="0" fontId="752" fillId="5" borderId="3" xfId="0" applyFont="1" applyFill="1" applyBorder="1" applyAlignment="1">
      <alignment horizontal="left" vertical="top" wrapText="1"/>
    </xf>
    <xf numFmtId="0" fontId="753" fillId="5" borderId="3" xfId="0" applyFont="1" applyFill="1" applyBorder="1" applyAlignment="1">
      <alignment horizontal="left" vertical="top" wrapText="1"/>
    </xf>
    <xf numFmtId="0" fontId="754" fillId="5" borderId="3" xfId="0" applyFont="1" applyFill="1" applyBorder="1" applyAlignment="1">
      <alignment horizontal="left" vertical="top" wrapText="1"/>
    </xf>
    <xf numFmtId="0" fontId="755" fillId="5" borderId="3" xfId="0" applyFont="1" applyFill="1" applyBorder="1" applyAlignment="1">
      <alignment horizontal="left" vertical="top" wrapText="1"/>
    </xf>
    <xf numFmtId="0" fontId="756" fillId="5" borderId="3" xfId="0" applyFont="1" applyFill="1" applyBorder="1" applyAlignment="1">
      <alignment horizontal="left" vertical="top" wrapText="1"/>
    </xf>
    <xf numFmtId="0" fontId="757" fillId="5" borderId="3" xfId="0" applyFont="1" applyFill="1" applyBorder="1" applyAlignment="1">
      <alignment horizontal="left" vertical="top" wrapText="1"/>
    </xf>
    <xf numFmtId="0" fontId="758" fillId="5" borderId="3" xfId="0" applyFont="1" applyFill="1" applyBorder="1" applyAlignment="1">
      <alignment horizontal="left" vertical="top" wrapText="1"/>
    </xf>
    <xf numFmtId="0" fontId="759" fillId="5" borderId="3" xfId="0" applyFont="1" applyFill="1" applyBorder="1" applyAlignment="1">
      <alignment horizontal="left" vertical="top" wrapText="1"/>
    </xf>
    <xf numFmtId="0" fontId="760" fillId="5" borderId="3" xfId="0" applyFont="1" applyFill="1" applyBorder="1" applyAlignment="1">
      <alignment horizontal="left" vertical="top" wrapText="1"/>
    </xf>
    <xf numFmtId="0" fontId="761" fillId="5" borderId="3" xfId="0" applyFont="1" applyFill="1" applyBorder="1" applyAlignment="1">
      <alignment horizontal="left" vertical="top" wrapText="1"/>
    </xf>
    <xf numFmtId="0" fontId="762" fillId="5" borderId="3" xfId="0" applyFont="1" applyFill="1" applyBorder="1" applyAlignment="1">
      <alignment horizontal="left" vertical="top" wrapText="1"/>
    </xf>
    <xf numFmtId="0" fontId="763" fillId="5" borderId="3" xfId="0" applyFont="1" applyFill="1" applyBorder="1" applyAlignment="1">
      <alignment horizontal="left" vertical="top" wrapText="1"/>
    </xf>
    <xf numFmtId="0" fontId="764" fillId="5" borderId="3" xfId="0" applyFont="1" applyFill="1" applyBorder="1" applyAlignment="1">
      <alignment horizontal="left" vertical="top" wrapText="1"/>
    </xf>
    <xf numFmtId="0" fontId="765" fillId="5" borderId="3" xfId="0" applyFont="1" applyFill="1" applyBorder="1" applyAlignment="1">
      <alignment horizontal="left" vertical="top" wrapText="1"/>
    </xf>
    <xf numFmtId="0" fontId="766" fillId="5" borderId="3" xfId="0" applyFont="1" applyFill="1" applyBorder="1" applyAlignment="1">
      <alignment horizontal="left" vertical="top" wrapText="1"/>
    </xf>
    <xf numFmtId="0" fontId="767" fillId="5" borderId="3" xfId="0" applyFont="1" applyFill="1" applyBorder="1" applyAlignment="1">
      <alignment horizontal="left" vertical="top" wrapText="1"/>
    </xf>
    <xf numFmtId="0" fontId="768" fillId="5" borderId="3" xfId="0" applyFont="1" applyFill="1" applyBorder="1" applyAlignment="1">
      <alignment horizontal="left" vertical="top" wrapText="1"/>
    </xf>
    <xf numFmtId="0" fontId="769" fillId="5" borderId="3" xfId="0" applyFont="1" applyFill="1" applyBorder="1" applyAlignment="1">
      <alignment horizontal="left" vertical="top" wrapText="1"/>
    </xf>
    <xf numFmtId="0" fontId="770" fillId="5" borderId="3" xfId="0" applyFont="1" applyFill="1" applyBorder="1" applyAlignment="1">
      <alignment horizontal="center" vertical="top"/>
    </xf>
    <xf numFmtId="0" fontId="771" fillId="5" borderId="3" xfId="0" applyFont="1" applyFill="1" applyBorder="1" applyAlignment="1">
      <alignment horizontal="center" vertical="top"/>
    </xf>
    <xf numFmtId="0" fontId="772" fillId="5" borderId="3" xfId="0" applyFont="1" applyFill="1" applyBorder="1" applyAlignment="1">
      <alignment horizontal="center" vertical="top"/>
    </xf>
    <xf numFmtId="0" fontId="773" fillId="5" borderId="3" xfId="0" applyFont="1" applyFill="1" applyBorder="1" applyAlignment="1">
      <alignment horizontal="left" vertical="top" wrapText="1"/>
    </xf>
    <xf numFmtId="0" fontId="774" fillId="5" borderId="3" xfId="0" applyFont="1" applyFill="1" applyBorder="1" applyAlignment="1">
      <alignment horizontal="left" vertical="top" wrapText="1"/>
    </xf>
    <xf numFmtId="0" fontId="775" fillId="5" borderId="3" xfId="0" applyFont="1" applyFill="1" applyBorder="1" applyAlignment="1">
      <alignment horizontal="left" vertical="top" wrapText="1"/>
    </xf>
    <xf numFmtId="0" fontId="776" fillId="5" borderId="3" xfId="0" applyFont="1" applyFill="1" applyBorder="1" applyAlignment="1">
      <alignment horizontal="left" vertical="top" wrapText="1"/>
    </xf>
    <xf numFmtId="0" fontId="777" fillId="5" borderId="3" xfId="0" applyFont="1" applyFill="1" applyBorder="1" applyAlignment="1">
      <alignment horizontal="left" vertical="top" wrapText="1"/>
    </xf>
    <xf numFmtId="0" fontId="778" fillId="5" borderId="3" xfId="0" applyFont="1" applyFill="1" applyBorder="1" applyAlignment="1">
      <alignment horizontal="left" vertical="top" wrapText="1"/>
    </xf>
    <xf numFmtId="0" fontId="779" fillId="5" borderId="3" xfId="0" applyFont="1" applyFill="1" applyBorder="1" applyAlignment="1">
      <alignment horizontal="left" vertical="top" wrapText="1"/>
    </xf>
    <xf numFmtId="0" fontId="780" fillId="5" borderId="3" xfId="0" applyFont="1" applyFill="1" applyBorder="1" applyAlignment="1">
      <alignment horizontal="left" vertical="top" wrapText="1"/>
    </xf>
    <xf numFmtId="0" fontId="781" fillId="5" borderId="3" xfId="0" applyFont="1" applyFill="1" applyBorder="1" applyAlignment="1">
      <alignment horizontal="left" vertical="top" wrapText="1"/>
    </xf>
    <xf numFmtId="0" fontId="782" fillId="5" borderId="3" xfId="0" applyFont="1" applyFill="1" applyBorder="1" applyAlignment="1">
      <alignment horizontal="left" vertical="top" wrapText="1"/>
    </xf>
    <xf numFmtId="0" fontId="783" fillId="5" borderId="3" xfId="0" applyFont="1" applyFill="1" applyBorder="1" applyAlignment="1">
      <alignment horizontal="left" vertical="top" wrapText="1"/>
    </xf>
    <xf numFmtId="0" fontId="784" fillId="5" borderId="3" xfId="0" applyFont="1" applyFill="1" applyBorder="1" applyAlignment="1">
      <alignment horizontal="left" vertical="top" wrapText="1"/>
    </xf>
    <xf numFmtId="0" fontId="785" fillId="5" borderId="3" xfId="0" applyFont="1" applyFill="1" applyBorder="1" applyAlignment="1">
      <alignment horizontal="left" vertical="top" wrapText="1"/>
    </xf>
    <xf numFmtId="0" fontId="786" fillId="5" borderId="3" xfId="0" applyFont="1" applyFill="1" applyBorder="1" applyAlignment="1">
      <alignment horizontal="left" vertical="top" wrapText="1"/>
    </xf>
    <xf numFmtId="0" fontId="787" fillId="5" borderId="3" xfId="0" applyFont="1" applyFill="1" applyBorder="1" applyAlignment="1">
      <alignment horizontal="left" vertical="top" wrapText="1"/>
    </xf>
    <xf numFmtId="0" fontId="788" fillId="5" borderId="3" xfId="0" applyFont="1" applyFill="1" applyBorder="1" applyAlignment="1">
      <alignment horizontal="center" vertical="top"/>
    </xf>
    <xf numFmtId="0" fontId="789" fillId="5" borderId="3" xfId="0" applyFont="1" applyFill="1" applyBorder="1" applyAlignment="1">
      <alignment horizontal="center" vertical="top"/>
    </xf>
    <xf numFmtId="0" fontId="790" fillId="5" borderId="3" xfId="0" applyFont="1" applyFill="1" applyBorder="1" applyAlignment="1">
      <alignment horizontal="center" vertical="top"/>
    </xf>
    <xf numFmtId="0" fontId="791" fillId="5" borderId="3" xfId="0" applyFont="1" applyFill="1" applyBorder="1" applyAlignment="1">
      <alignment horizontal="center" vertical="top"/>
    </xf>
    <xf numFmtId="0" fontId="794" fillId="5" borderId="3" xfId="0" applyFont="1" applyFill="1" applyBorder="1" applyAlignment="1">
      <alignment horizontal="left" vertical="top" wrapText="1"/>
    </xf>
    <xf numFmtId="0" fontId="802" fillId="5" borderId="3" xfId="0" applyFont="1" applyFill="1" applyBorder="1" applyAlignment="1">
      <alignment horizontal="left" vertical="top" wrapText="1"/>
    </xf>
    <xf numFmtId="0" fontId="803" fillId="5" borderId="3" xfId="0" applyFont="1" applyFill="1" applyBorder="1" applyAlignment="1">
      <alignment horizontal="left" vertical="top" wrapText="1"/>
    </xf>
    <xf numFmtId="0" fontId="807" fillId="5" borderId="3" xfId="0" applyFont="1" applyFill="1" applyBorder="1" applyAlignment="1">
      <alignment horizontal="left" vertical="top" wrapText="1"/>
    </xf>
    <xf numFmtId="0" fontId="814" fillId="5" borderId="3" xfId="0" applyFont="1" applyFill="1" applyBorder="1" applyAlignment="1">
      <alignment horizontal="left" vertical="top" wrapText="1"/>
    </xf>
    <xf numFmtId="0" fontId="816" fillId="5" borderId="3" xfId="0" applyFont="1" applyFill="1" applyBorder="1" applyAlignment="1">
      <alignment horizontal="left" vertical="top" wrapText="1"/>
    </xf>
    <xf numFmtId="0" fontId="817" fillId="5" borderId="3" xfId="0" applyFont="1" applyFill="1" applyBorder="1" applyAlignment="1">
      <alignment horizontal="left" vertical="top" wrapText="1"/>
    </xf>
    <xf numFmtId="0" fontId="818" fillId="5" borderId="3" xfId="0" applyFont="1" applyFill="1" applyBorder="1" applyAlignment="1">
      <alignment horizontal="left" vertical="top" wrapText="1"/>
    </xf>
    <xf numFmtId="0" fontId="819" fillId="5" borderId="3" xfId="0" applyFont="1" applyFill="1" applyBorder="1" applyAlignment="1">
      <alignment horizontal="left" vertical="top" wrapText="1"/>
    </xf>
    <xf numFmtId="0" fontId="820" fillId="5" borderId="3" xfId="0" applyFont="1" applyFill="1" applyBorder="1" applyAlignment="1">
      <alignment horizontal="left" vertical="top" wrapText="1"/>
    </xf>
    <xf numFmtId="0" fontId="821" fillId="5" borderId="3" xfId="0" applyFont="1" applyFill="1" applyBorder="1" applyAlignment="1">
      <alignment horizontal="left" vertical="top" wrapText="1"/>
    </xf>
    <xf numFmtId="0" fontId="822" fillId="5" borderId="3" xfId="0" applyFont="1" applyFill="1" applyBorder="1" applyAlignment="1">
      <alignment horizontal="left" vertical="top" wrapText="1"/>
    </xf>
    <xf numFmtId="0" fontId="823" fillId="5" borderId="3" xfId="0" applyFont="1" applyFill="1" applyBorder="1" applyAlignment="1">
      <alignment horizontal="left" vertical="top" wrapText="1"/>
    </xf>
    <xf numFmtId="0" fontId="824" fillId="5" borderId="3" xfId="0" applyFont="1" applyFill="1" applyBorder="1" applyAlignment="1">
      <alignment horizontal="left" vertical="top" wrapText="1"/>
    </xf>
    <xf numFmtId="0" fontId="825" fillId="5" borderId="3" xfId="0" applyFont="1" applyFill="1" applyBorder="1" applyAlignment="1">
      <alignment horizontal="left" vertical="top" wrapText="1"/>
    </xf>
    <xf numFmtId="0" fontId="826" fillId="5" borderId="3" xfId="0" applyFont="1" applyFill="1" applyBorder="1" applyAlignment="1">
      <alignment horizontal="left" vertical="top" wrapText="1"/>
    </xf>
    <xf numFmtId="0" fontId="827" fillId="5" borderId="3" xfId="0" applyFont="1" applyFill="1" applyBorder="1" applyAlignment="1">
      <alignment horizontal="left" vertical="top" wrapText="1"/>
    </xf>
    <xf numFmtId="0" fontId="828" fillId="5" borderId="3" xfId="0" applyFont="1" applyFill="1" applyBorder="1" applyAlignment="1">
      <alignment horizontal="left" vertical="top" wrapText="1"/>
    </xf>
    <xf numFmtId="0" fontId="829" fillId="5" borderId="3" xfId="0" applyFont="1" applyFill="1" applyBorder="1" applyAlignment="1">
      <alignment horizontal="left" vertical="top" wrapText="1"/>
    </xf>
    <xf numFmtId="0" fontId="830" fillId="5" borderId="3" xfId="0" applyFont="1" applyFill="1" applyBorder="1" applyAlignment="1">
      <alignment horizontal="center" vertical="top"/>
    </xf>
    <xf numFmtId="0" fontId="831" fillId="5" borderId="3" xfId="0" applyFont="1" applyFill="1" applyBorder="1" applyAlignment="1">
      <alignment horizontal="center" vertical="top"/>
    </xf>
    <xf numFmtId="0" fontId="832" fillId="5" borderId="3" xfId="0" applyFont="1" applyFill="1" applyBorder="1" applyAlignment="1">
      <alignment horizontal="center" vertical="top"/>
    </xf>
    <xf numFmtId="0" fontId="833" fillId="5" borderId="3" xfId="0" applyFont="1" applyFill="1" applyBorder="1" applyAlignment="1">
      <alignment horizontal="center" vertical="top"/>
    </xf>
    <xf numFmtId="0" fontId="834" fillId="5" borderId="3" xfId="0" applyFont="1" applyFill="1" applyBorder="1" applyAlignment="1">
      <alignment horizontal="center" vertical="top"/>
    </xf>
    <xf numFmtId="0" fontId="835" fillId="5" borderId="3" xfId="0" applyFont="1" applyFill="1" applyBorder="1" applyAlignment="1">
      <alignment horizontal="center" vertical="top"/>
    </xf>
    <xf numFmtId="0" fontId="836" fillId="5" borderId="3" xfId="0" applyFont="1" applyFill="1" applyBorder="1" applyAlignment="1">
      <alignment horizontal="center" vertical="top"/>
    </xf>
    <xf numFmtId="0" fontId="837" fillId="5" borderId="3" xfId="0" applyFont="1" applyFill="1" applyBorder="1" applyAlignment="1">
      <alignment horizontal="center" vertical="top"/>
    </xf>
    <xf numFmtId="0" fontId="838" fillId="5" borderId="3" xfId="0" applyFont="1" applyFill="1" applyBorder="1" applyAlignment="1">
      <alignment horizontal="center" vertical="top"/>
    </xf>
    <xf numFmtId="0" fontId="840" fillId="5" borderId="3" xfId="0" applyFont="1" applyFill="1" applyBorder="1" applyAlignment="1">
      <alignment horizontal="center" vertical="top"/>
    </xf>
    <xf numFmtId="0" fontId="841" fillId="5" borderId="3" xfId="0" applyFont="1" applyFill="1" applyBorder="1" applyAlignment="1">
      <alignment horizontal="left" vertical="top" wrapText="1"/>
    </xf>
    <xf numFmtId="0" fontId="842" fillId="5" borderId="3" xfId="0" applyFont="1" applyFill="1" applyBorder="1" applyAlignment="1">
      <alignment horizontal="left" vertical="top" wrapText="1"/>
    </xf>
    <xf numFmtId="0" fontId="843" fillId="5" borderId="3" xfId="0" applyFont="1" applyFill="1" applyBorder="1" applyAlignment="1">
      <alignment horizontal="left" vertical="top" wrapText="1"/>
    </xf>
    <xf numFmtId="0" fontId="844" fillId="5" borderId="3" xfId="0" applyFont="1" applyFill="1" applyBorder="1" applyAlignment="1">
      <alignment horizontal="left" vertical="top" wrapText="1"/>
    </xf>
    <xf numFmtId="0" fontId="845" fillId="5" borderId="3" xfId="0" applyFont="1" applyFill="1" applyBorder="1" applyAlignment="1">
      <alignment horizontal="center" vertical="top"/>
    </xf>
    <xf numFmtId="0" fontId="846" fillId="5" borderId="3" xfId="0" applyFont="1" applyFill="1" applyBorder="1" applyAlignment="1">
      <alignment horizontal="center" vertical="top"/>
    </xf>
    <xf numFmtId="0" fontId="847" fillId="5" borderId="3" xfId="0" applyFont="1" applyFill="1" applyBorder="1" applyAlignment="1">
      <alignment horizontal="center" vertical="top"/>
    </xf>
    <xf numFmtId="0" fontId="848" fillId="5" borderId="3" xfId="0" applyFont="1" applyFill="1" applyBorder="1" applyAlignment="1">
      <alignment horizontal="left" vertical="top" wrapText="1"/>
    </xf>
    <xf numFmtId="0" fontId="849" fillId="5" borderId="3" xfId="0" applyFont="1" applyFill="1" applyBorder="1" applyAlignment="1">
      <alignment horizontal="left" vertical="top" wrapText="1"/>
    </xf>
    <xf numFmtId="0" fontId="850" fillId="5" borderId="3" xfId="0" applyFont="1" applyFill="1" applyBorder="1" applyAlignment="1">
      <alignment horizontal="left" vertical="top" wrapText="1"/>
    </xf>
    <xf numFmtId="0" fontId="851" fillId="5" borderId="3" xfId="0" applyFont="1" applyFill="1" applyBorder="1" applyAlignment="1">
      <alignment horizontal="left" vertical="top" wrapText="1"/>
    </xf>
    <xf numFmtId="0" fontId="852" fillId="5" borderId="3" xfId="0" applyFont="1" applyFill="1" applyBorder="1" applyAlignment="1">
      <alignment horizontal="left" vertical="top" wrapText="1"/>
    </xf>
    <xf numFmtId="0" fontId="853" fillId="5" borderId="3" xfId="0" applyFont="1" applyFill="1" applyBorder="1" applyAlignment="1">
      <alignment horizontal="center" vertical="top"/>
    </xf>
    <xf numFmtId="0" fontId="855" fillId="5" borderId="3" xfId="0" applyFont="1" applyFill="1" applyBorder="1" applyAlignment="1">
      <alignment horizontal="left" vertical="top" wrapText="1"/>
    </xf>
    <xf numFmtId="0" fontId="856" fillId="5" borderId="3" xfId="0" applyFont="1" applyFill="1" applyBorder="1" applyAlignment="1">
      <alignment horizontal="center" vertical="top"/>
    </xf>
    <xf numFmtId="0" fontId="857" fillId="5" borderId="3" xfId="0" applyFont="1" applyFill="1" applyBorder="1" applyAlignment="1">
      <alignment horizontal="center" vertical="top"/>
    </xf>
    <xf numFmtId="0" fontId="858" fillId="5" borderId="3" xfId="0" applyFont="1" applyFill="1" applyBorder="1" applyAlignment="1">
      <alignment horizontal="center" vertical="top"/>
    </xf>
    <xf numFmtId="0" fontId="859" fillId="5" borderId="3" xfId="0" applyFont="1" applyFill="1" applyBorder="1" applyAlignment="1">
      <alignment horizontal="center" vertical="top"/>
    </xf>
    <xf numFmtId="0" fontId="860" fillId="5" borderId="3" xfId="0" applyFont="1" applyFill="1" applyBorder="1" applyAlignment="1">
      <alignment horizontal="center" vertical="top"/>
    </xf>
    <xf numFmtId="0" fontId="861" fillId="5" borderId="3" xfId="0" applyFont="1" applyFill="1" applyBorder="1" applyAlignment="1">
      <alignment horizontal="center" vertical="top"/>
    </xf>
    <xf numFmtId="0" fontId="862" fillId="5" borderId="3" xfId="0" applyFont="1" applyFill="1" applyBorder="1" applyAlignment="1">
      <alignment horizontal="center" vertical="top"/>
    </xf>
    <xf numFmtId="0" fontId="863" fillId="5" borderId="3" xfId="0" applyFont="1" applyFill="1" applyBorder="1" applyAlignment="1">
      <alignment horizontal="left" vertical="top" wrapText="1"/>
    </xf>
    <xf numFmtId="0" fontId="864" fillId="5" borderId="3" xfId="0" applyFont="1" applyFill="1" applyBorder="1" applyAlignment="1">
      <alignment horizontal="left" vertical="top" wrapText="1"/>
    </xf>
    <xf numFmtId="0" fontId="865" fillId="5" borderId="3" xfId="0" applyFont="1" applyFill="1" applyBorder="1" applyAlignment="1">
      <alignment horizontal="left" vertical="top" wrapText="1"/>
    </xf>
    <xf numFmtId="0" fontId="866" fillId="5" borderId="3" xfId="0" applyFont="1" applyFill="1" applyBorder="1" applyAlignment="1">
      <alignment horizontal="left" vertical="top" wrapText="1"/>
    </xf>
    <xf numFmtId="0" fontId="867" fillId="5" borderId="3" xfId="0" applyFont="1" applyFill="1" applyBorder="1" applyAlignment="1">
      <alignment horizontal="center" vertical="top"/>
    </xf>
    <xf numFmtId="0" fontId="868" fillId="5" borderId="3" xfId="0" applyFont="1" applyFill="1" applyBorder="1" applyAlignment="1">
      <alignment horizontal="center" vertical="top"/>
    </xf>
    <xf numFmtId="0" fontId="869" fillId="5" borderId="3" xfId="0" applyFont="1" applyFill="1" applyBorder="1" applyAlignment="1">
      <alignment horizontal="center" vertical="top"/>
    </xf>
    <xf numFmtId="0" fontId="870" fillId="5" borderId="3" xfId="0" applyFont="1" applyFill="1" applyBorder="1" applyAlignment="1">
      <alignment horizontal="center" vertical="top"/>
    </xf>
    <xf numFmtId="0" fontId="871" fillId="5" borderId="3" xfId="0" applyFont="1" applyFill="1" applyBorder="1" applyAlignment="1">
      <alignment horizontal="center" vertical="top"/>
    </xf>
    <xf numFmtId="0" fontId="872" fillId="5" borderId="3" xfId="0" applyFont="1" applyFill="1" applyBorder="1" applyAlignment="1">
      <alignment horizontal="center" vertical="top"/>
    </xf>
    <xf numFmtId="0" fontId="873" fillId="5" borderId="3" xfId="0" applyFont="1" applyFill="1" applyBorder="1" applyAlignment="1">
      <alignment horizontal="center" vertical="top"/>
    </xf>
    <xf numFmtId="0" fontId="874" fillId="5" borderId="3" xfId="0" applyFont="1" applyFill="1" applyBorder="1" applyAlignment="1">
      <alignment horizontal="center" vertical="top"/>
    </xf>
    <xf numFmtId="0" fontId="875" fillId="5" borderId="3" xfId="0" applyFont="1" applyFill="1" applyBorder="1" applyAlignment="1">
      <alignment horizontal="center" vertical="top"/>
    </xf>
    <xf numFmtId="0" fontId="876" fillId="5" borderId="3" xfId="0" applyFont="1" applyFill="1" applyBorder="1" applyAlignment="1">
      <alignment horizontal="center" vertical="top"/>
    </xf>
    <xf numFmtId="0" fontId="877" fillId="5" borderId="3" xfId="0" applyFont="1" applyFill="1" applyBorder="1" applyAlignment="1">
      <alignment horizontal="center" vertical="top"/>
    </xf>
    <xf numFmtId="0" fontId="878" fillId="5" borderId="3" xfId="0" applyFont="1" applyFill="1" applyBorder="1" applyAlignment="1">
      <alignment horizontal="center" vertical="top"/>
    </xf>
    <xf numFmtId="0" fontId="879" fillId="5" borderId="3" xfId="0" applyFont="1" applyFill="1" applyBorder="1" applyAlignment="1">
      <alignment horizontal="center" vertical="top"/>
    </xf>
    <xf numFmtId="0" fontId="880" fillId="5" borderId="3" xfId="0" applyFont="1" applyFill="1" applyBorder="1" applyAlignment="1">
      <alignment horizontal="center" vertical="top"/>
    </xf>
    <xf numFmtId="0" fontId="881" fillId="5" borderId="3" xfId="0" applyFont="1" applyFill="1" applyBorder="1" applyAlignment="1">
      <alignment horizontal="center" vertical="top"/>
    </xf>
    <xf numFmtId="0" fontId="882" fillId="5" borderId="3" xfId="0" applyFont="1" applyFill="1" applyBorder="1" applyAlignment="1">
      <alignment horizontal="center" vertical="top"/>
    </xf>
    <xf numFmtId="0" fontId="883" fillId="5" borderId="3" xfId="0" applyFont="1" applyFill="1" applyBorder="1" applyAlignment="1">
      <alignment horizontal="center" vertical="top"/>
    </xf>
    <xf numFmtId="0" fontId="884" fillId="5" borderId="3" xfId="0" applyFont="1" applyFill="1" applyBorder="1" applyAlignment="1">
      <alignment horizontal="left" vertical="top" wrapText="1"/>
    </xf>
    <xf numFmtId="0" fontId="885" fillId="5" borderId="3" xfId="0" applyFont="1" applyFill="1" applyBorder="1" applyAlignment="1">
      <alignment horizontal="left" vertical="top" wrapText="1"/>
    </xf>
    <xf numFmtId="0" fontId="886" fillId="5" borderId="3" xfId="0" applyFont="1" applyFill="1" applyBorder="1" applyAlignment="1">
      <alignment horizontal="left" vertical="top" wrapText="1"/>
    </xf>
    <xf numFmtId="0" fontId="887" fillId="5" borderId="3" xfId="0" applyFont="1" applyFill="1" applyBorder="1" applyAlignment="1">
      <alignment horizontal="left" vertical="top" wrapText="1"/>
    </xf>
    <xf numFmtId="0" fontId="888" fillId="5" borderId="3" xfId="0" applyFont="1" applyFill="1" applyBorder="1" applyAlignment="1">
      <alignment horizontal="left" vertical="top" wrapText="1"/>
    </xf>
    <xf numFmtId="0" fontId="889" fillId="5" borderId="3" xfId="0" applyFont="1" applyFill="1" applyBorder="1" applyAlignment="1">
      <alignment horizontal="left" vertical="top" wrapText="1"/>
    </xf>
    <xf numFmtId="0" fontId="890" fillId="5" borderId="3" xfId="0" applyFont="1" applyFill="1" applyBorder="1" applyAlignment="1">
      <alignment horizontal="left" vertical="top" wrapText="1"/>
    </xf>
    <xf numFmtId="0" fontId="897" fillId="5" borderId="3" xfId="0" applyFont="1" applyFill="1" applyBorder="1" applyAlignment="1">
      <alignment horizontal="left" vertical="top" wrapText="1"/>
    </xf>
    <xf numFmtId="0" fontId="898" fillId="5" borderId="3" xfId="0" applyFont="1" applyFill="1" applyBorder="1" applyAlignment="1">
      <alignment horizontal="left" vertical="top" wrapText="1"/>
    </xf>
    <xf numFmtId="0" fontId="899" fillId="5" borderId="3" xfId="0" applyFont="1" applyFill="1" applyBorder="1" applyAlignment="1">
      <alignment horizontal="left" vertical="top" wrapText="1"/>
    </xf>
    <xf numFmtId="0" fontId="900" fillId="5" borderId="3" xfId="0" applyFont="1" applyFill="1" applyBorder="1" applyAlignment="1">
      <alignment horizontal="left" vertical="top" wrapText="1"/>
    </xf>
    <xf numFmtId="0" fontId="901" fillId="5" borderId="3" xfId="0" applyFont="1" applyFill="1" applyBorder="1" applyAlignment="1">
      <alignment horizontal="left" vertical="top" wrapText="1"/>
    </xf>
    <xf numFmtId="0" fontId="902" fillId="5" borderId="3" xfId="0" applyFont="1" applyFill="1" applyBorder="1" applyAlignment="1">
      <alignment horizontal="left" vertical="top" wrapText="1"/>
    </xf>
    <xf numFmtId="0" fontId="923" fillId="5" borderId="3" xfId="0" applyFont="1" applyFill="1" applyBorder="1" applyAlignment="1">
      <alignment horizontal="left" vertical="top" wrapText="1"/>
    </xf>
    <xf numFmtId="0" fontId="929" fillId="5" borderId="3" xfId="0" applyFont="1" applyFill="1" applyBorder="1" applyAlignment="1">
      <alignment horizontal="left" vertical="top" wrapText="1"/>
    </xf>
    <xf numFmtId="0" fontId="930" fillId="5" borderId="3" xfId="0" applyFont="1" applyFill="1" applyBorder="1" applyAlignment="1">
      <alignment horizontal="left" vertical="top" wrapText="1"/>
    </xf>
    <xf numFmtId="0" fontId="931" fillId="5" borderId="3" xfId="0" applyFont="1" applyFill="1" applyBorder="1" applyAlignment="1">
      <alignment horizontal="left" vertical="top" wrapText="1"/>
    </xf>
    <xf numFmtId="0" fontId="932" fillId="5" borderId="3" xfId="0" applyFont="1" applyFill="1" applyBorder="1" applyAlignment="1">
      <alignment horizontal="left" vertical="top" wrapText="1"/>
    </xf>
    <xf numFmtId="0" fontId="933" fillId="5" borderId="3" xfId="0" applyFont="1" applyFill="1" applyBorder="1" applyAlignment="1">
      <alignment horizontal="left" vertical="top" wrapText="1"/>
    </xf>
    <xf numFmtId="0" fontId="934" fillId="5" borderId="3" xfId="0" applyFont="1" applyFill="1" applyBorder="1" applyAlignment="1">
      <alignment horizontal="left" vertical="top" wrapText="1"/>
    </xf>
    <xf numFmtId="0" fontId="935" fillId="5" borderId="3" xfId="0" applyFont="1" applyFill="1" applyBorder="1" applyAlignment="1">
      <alignment horizontal="left" vertical="top" wrapText="1"/>
    </xf>
    <xf numFmtId="0" fontId="936" fillId="5" borderId="3" xfId="0" applyFont="1" applyFill="1" applyBorder="1" applyAlignment="1">
      <alignment horizontal="left" vertical="top" wrapText="1"/>
    </xf>
    <xf numFmtId="0" fontId="937" fillId="5" borderId="3" xfId="0" applyFont="1" applyFill="1" applyBorder="1" applyAlignment="1">
      <alignment horizontal="center" vertical="top"/>
    </xf>
    <xf numFmtId="0" fontId="938" fillId="5" borderId="3" xfId="0" applyFont="1" applyFill="1" applyBorder="1" applyAlignment="1">
      <alignment horizontal="center" vertical="top"/>
    </xf>
    <xf numFmtId="0" fontId="939" fillId="5" borderId="3" xfId="0" applyFont="1" applyFill="1" applyBorder="1" applyAlignment="1">
      <alignment horizontal="center" vertical="top"/>
    </xf>
    <xf numFmtId="0" fontId="940" fillId="5" borderId="3" xfId="0" applyFont="1" applyFill="1" applyBorder="1" applyAlignment="1">
      <alignment horizontal="center" vertical="top"/>
    </xf>
    <xf numFmtId="0" fontId="941" fillId="5" borderId="3" xfId="0" applyFont="1" applyFill="1" applyBorder="1" applyAlignment="1">
      <alignment horizontal="center" vertical="top"/>
    </xf>
    <xf numFmtId="0" fontId="942" fillId="5" borderId="3" xfId="0" applyFont="1" applyFill="1" applyBorder="1" applyAlignment="1">
      <alignment horizontal="center" vertical="top"/>
    </xf>
    <xf numFmtId="0" fontId="943" fillId="5" borderId="3" xfId="0" applyFont="1" applyFill="1" applyBorder="1" applyAlignment="1">
      <alignment horizontal="center" vertical="top"/>
    </xf>
    <xf numFmtId="0" fontId="944" fillId="5" borderId="3" xfId="0" applyFont="1" applyFill="1" applyBorder="1" applyAlignment="1">
      <alignment horizontal="center" vertical="top"/>
    </xf>
    <xf numFmtId="0" fontId="945" fillId="5" borderId="3" xfId="0" applyFont="1" applyFill="1" applyBorder="1" applyAlignment="1">
      <alignment horizontal="center" vertical="top"/>
    </xf>
    <xf numFmtId="0" fontId="946" fillId="5" borderId="3" xfId="0" applyFont="1" applyFill="1" applyBorder="1" applyAlignment="1">
      <alignment horizontal="left" vertical="top" wrapText="1"/>
    </xf>
    <xf numFmtId="0" fontId="947" fillId="5" borderId="3" xfId="0" applyFont="1" applyFill="1" applyBorder="1" applyAlignment="1">
      <alignment horizontal="left" vertical="top" wrapText="1"/>
    </xf>
    <xf numFmtId="0" fontId="948" fillId="5" borderId="3" xfId="0" applyFont="1" applyFill="1" applyBorder="1" applyAlignment="1">
      <alignment horizontal="left" vertical="top" wrapText="1"/>
    </xf>
    <xf numFmtId="0" fontId="949" fillId="5" borderId="3" xfId="0" applyFont="1" applyFill="1" applyBorder="1" applyAlignment="1">
      <alignment horizontal="center" vertical="top"/>
    </xf>
    <xf numFmtId="0" fontId="950" fillId="5" borderId="3" xfId="0" applyFont="1" applyFill="1" applyBorder="1" applyAlignment="1">
      <alignment horizontal="center" vertical="top"/>
    </xf>
    <xf numFmtId="0" fontId="951" fillId="5" borderId="3" xfId="0" applyFont="1" applyFill="1" applyBorder="1" applyAlignment="1">
      <alignment horizontal="center" vertical="top"/>
    </xf>
    <xf numFmtId="0" fontId="952" fillId="5" borderId="3" xfId="0" applyFont="1" applyFill="1" applyBorder="1" applyAlignment="1">
      <alignment horizontal="center" vertical="top"/>
    </xf>
    <xf numFmtId="0" fontId="953" fillId="5" borderId="3" xfId="0" applyFont="1" applyFill="1" applyBorder="1" applyAlignment="1">
      <alignment horizontal="left" vertical="top" wrapText="1"/>
    </xf>
    <xf numFmtId="0" fontId="954" fillId="5" borderId="3" xfId="0" applyFont="1" applyFill="1" applyBorder="1" applyAlignment="1">
      <alignment horizontal="center" vertical="top"/>
    </xf>
    <xf numFmtId="0" fontId="955" fillId="5" borderId="3" xfId="0" applyFont="1" applyFill="1" applyBorder="1" applyAlignment="1">
      <alignment horizontal="center" vertical="top"/>
    </xf>
    <xf numFmtId="0" fontId="956" fillId="5" borderId="3" xfId="0" applyFont="1" applyFill="1" applyBorder="1" applyAlignment="1">
      <alignment horizontal="center" vertical="top"/>
    </xf>
    <xf numFmtId="0" fontId="957" fillId="5" borderId="3" xfId="0" applyFont="1" applyFill="1" applyBorder="1" applyAlignment="1">
      <alignment horizontal="center" vertical="top"/>
    </xf>
    <xf numFmtId="0" fontId="958" fillId="5" borderId="3" xfId="0" applyFont="1" applyFill="1" applyBorder="1" applyAlignment="1">
      <alignment horizontal="center" vertical="top"/>
    </xf>
    <xf numFmtId="0" fontId="959" fillId="5" borderId="3" xfId="0" applyFont="1" applyFill="1" applyBorder="1" applyAlignment="1">
      <alignment horizontal="center" vertical="top"/>
    </xf>
    <xf numFmtId="0" fontId="960" fillId="5" borderId="3" xfId="0" applyFont="1" applyFill="1" applyBorder="1" applyAlignment="1">
      <alignment horizontal="center" vertical="top"/>
    </xf>
    <xf numFmtId="0" fontId="961" fillId="5" borderId="3" xfId="0" applyFont="1" applyFill="1" applyBorder="1" applyAlignment="1">
      <alignment horizontal="center" vertical="top"/>
    </xf>
    <xf numFmtId="0" fontId="962" fillId="5" borderId="3" xfId="0" applyFont="1" applyFill="1" applyBorder="1" applyAlignment="1">
      <alignment horizontal="center" vertical="top"/>
    </xf>
    <xf numFmtId="0" fontId="963" fillId="5" borderId="3" xfId="0" applyFont="1" applyFill="1" applyBorder="1" applyAlignment="1">
      <alignment horizontal="left" vertical="top" wrapText="1"/>
    </xf>
    <xf numFmtId="0" fontId="964" fillId="5" borderId="3" xfId="0" applyFont="1" applyFill="1" applyBorder="1" applyAlignment="1">
      <alignment horizontal="left" vertical="top" wrapText="1"/>
    </xf>
    <xf numFmtId="0" fontId="965" fillId="5" borderId="3" xfId="0" applyFont="1" applyFill="1" applyBorder="1" applyAlignment="1">
      <alignment horizontal="left" vertical="top" wrapText="1"/>
    </xf>
    <xf numFmtId="0" fontId="966" fillId="5" borderId="3" xfId="0" applyFont="1" applyFill="1" applyBorder="1" applyAlignment="1">
      <alignment horizontal="left" vertical="top" wrapText="1"/>
    </xf>
    <xf numFmtId="0" fontId="967" fillId="5" borderId="3" xfId="0" applyFont="1" applyFill="1" applyBorder="1" applyAlignment="1">
      <alignment horizontal="left" vertical="top" wrapText="1"/>
    </xf>
    <xf numFmtId="0" fontId="968" fillId="5" borderId="3" xfId="0" applyFont="1" applyFill="1" applyBorder="1" applyAlignment="1">
      <alignment horizontal="left" vertical="top" wrapText="1"/>
    </xf>
    <xf numFmtId="0" fontId="969" fillId="5" borderId="3" xfId="0" applyFont="1" applyFill="1" applyBorder="1" applyAlignment="1">
      <alignment horizontal="left" vertical="top" wrapText="1"/>
    </xf>
    <xf numFmtId="0" fontId="970" fillId="5" borderId="3" xfId="0" applyFont="1" applyFill="1" applyBorder="1" applyAlignment="1">
      <alignment horizontal="left" vertical="top" wrapText="1"/>
    </xf>
    <xf numFmtId="0" fontId="971" fillId="5" borderId="3" xfId="0" applyFont="1" applyFill="1" applyBorder="1" applyAlignment="1">
      <alignment horizontal="left" vertical="top" wrapText="1"/>
    </xf>
    <xf numFmtId="0" fontId="972" fillId="5" borderId="3" xfId="0" applyFont="1" applyFill="1" applyBorder="1" applyAlignment="1">
      <alignment horizontal="left" vertical="top" wrapText="1"/>
    </xf>
    <xf numFmtId="0" fontId="973" fillId="5" borderId="3" xfId="0" applyFont="1" applyFill="1" applyBorder="1" applyAlignment="1">
      <alignment horizontal="left" vertical="top" wrapText="1"/>
    </xf>
    <xf numFmtId="0" fontId="974" fillId="5" borderId="3" xfId="0" applyFont="1" applyFill="1" applyBorder="1" applyAlignment="1">
      <alignment horizontal="left" vertical="top" wrapText="1"/>
    </xf>
    <xf numFmtId="0" fontId="975" fillId="5" borderId="3" xfId="0" applyFont="1" applyFill="1" applyBorder="1" applyAlignment="1">
      <alignment horizontal="left" vertical="top" wrapText="1"/>
    </xf>
    <xf numFmtId="0" fontId="976" fillId="5" borderId="3" xfId="0" applyFont="1" applyFill="1" applyBorder="1" applyAlignment="1">
      <alignment horizontal="left" vertical="top" wrapText="1"/>
    </xf>
    <xf numFmtId="0" fontId="977" fillId="5" borderId="3" xfId="0" applyFont="1" applyFill="1" applyBorder="1" applyAlignment="1">
      <alignment horizontal="left" vertical="top" wrapText="1"/>
    </xf>
    <xf numFmtId="0" fontId="978" fillId="5" borderId="3" xfId="0" applyFont="1" applyFill="1" applyBorder="1" applyAlignment="1">
      <alignment horizontal="left" vertical="top" wrapText="1"/>
    </xf>
    <xf numFmtId="0" fontId="979" fillId="5" borderId="3" xfId="0" applyFont="1" applyFill="1" applyBorder="1" applyAlignment="1">
      <alignment horizontal="left" vertical="top" wrapText="1"/>
    </xf>
    <xf numFmtId="0" fontId="980" fillId="5" borderId="3" xfId="0" applyFont="1" applyFill="1" applyBorder="1" applyAlignment="1">
      <alignment horizontal="left" vertical="top" wrapText="1"/>
    </xf>
    <xf numFmtId="0" fontId="981" fillId="5" borderId="3" xfId="0" applyFont="1" applyFill="1" applyBorder="1" applyAlignment="1">
      <alignment horizontal="left" vertical="top" wrapText="1"/>
    </xf>
    <xf numFmtId="0" fontId="982" fillId="5" borderId="3" xfId="0" applyFont="1" applyFill="1" applyBorder="1" applyAlignment="1">
      <alignment horizontal="left" vertical="top" wrapText="1"/>
    </xf>
    <xf numFmtId="0" fontId="983" fillId="5" borderId="3" xfId="0" applyFont="1" applyFill="1" applyBorder="1" applyAlignment="1">
      <alignment horizontal="left" vertical="top" wrapText="1"/>
    </xf>
    <xf numFmtId="0" fontId="984" fillId="5" borderId="3" xfId="0" applyFont="1" applyFill="1" applyBorder="1" applyAlignment="1">
      <alignment horizontal="left" vertical="top" wrapText="1"/>
    </xf>
    <xf numFmtId="0" fontId="985" fillId="5" borderId="3" xfId="0" applyFont="1" applyFill="1" applyBorder="1" applyAlignment="1">
      <alignment horizontal="left" vertical="top" wrapText="1"/>
    </xf>
    <xf numFmtId="0" fontId="986" fillId="5" borderId="3" xfId="0" applyFont="1" applyFill="1" applyBorder="1" applyAlignment="1">
      <alignment horizontal="center" vertical="top"/>
    </xf>
    <xf numFmtId="0" fontId="987" fillId="5" borderId="3" xfId="0" applyFont="1" applyFill="1" applyBorder="1" applyAlignment="1">
      <alignment horizontal="left" vertical="top" wrapText="1"/>
    </xf>
    <xf numFmtId="0" fontId="988" fillId="5" borderId="3" xfId="0" applyFont="1" applyFill="1" applyBorder="1" applyAlignment="1">
      <alignment horizontal="left" vertical="top" wrapText="1"/>
    </xf>
    <xf numFmtId="0" fontId="989" fillId="5" borderId="3" xfId="0" applyFont="1" applyFill="1" applyBorder="1" applyAlignment="1">
      <alignment horizontal="left" vertical="top" wrapText="1"/>
    </xf>
    <xf numFmtId="0" fontId="990" fillId="5" borderId="3" xfId="0" applyFont="1" applyFill="1" applyBorder="1" applyAlignment="1">
      <alignment horizontal="left" vertical="top" wrapText="1"/>
    </xf>
    <xf numFmtId="0" fontId="991" fillId="5" borderId="3" xfId="0" applyFont="1" applyFill="1" applyBorder="1" applyAlignment="1">
      <alignment horizontal="left" vertical="top" wrapText="1"/>
    </xf>
    <xf numFmtId="0" fontId="993" fillId="5" borderId="3" xfId="0" applyFont="1" applyFill="1" applyBorder="1" applyAlignment="1">
      <alignment horizontal="left" vertical="top" wrapText="1"/>
    </xf>
    <xf numFmtId="0" fontId="998" fillId="5" borderId="3" xfId="0" applyFont="1" applyFill="1" applyBorder="1" applyAlignment="1">
      <alignment horizontal="left" vertical="top" wrapText="1"/>
    </xf>
    <xf numFmtId="49" fontId="0" fillId="0" borderId="0" xfId="0" applyNumberFormat="1"/>
    <xf numFmtId="0" fontId="999" fillId="3" borderId="3" xfId="0" applyFont="1" applyFill="1" applyBorder="1" applyAlignment="1">
      <alignment horizontal="left" vertical="top" wrapText="1"/>
    </xf>
    <xf numFmtId="0" fontId="1002" fillId="4" borderId="3" xfId="0" applyFont="1" applyFill="1" applyBorder="1" applyAlignment="1">
      <alignment horizontal="center" vertical="top" wrapText="1"/>
    </xf>
    <xf numFmtId="0" fontId="1003" fillId="5" borderId="3" xfId="0" applyFont="1" applyFill="1" applyBorder="1" applyAlignment="1">
      <alignment horizontal="left" vertical="top" wrapText="1"/>
    </xf>
    <xf numFmtId="0" fontId="1007" fillId="5" borderId="3" xfId="0" applyFont="1" applyFill="1" applyBorder="1" applyAlignment="1">
      <alignment horizontal="left" vertical="top" wrapText="1"/>
    </xf>
    <xf numFmtId="0" fontId="1009" fillId="5" borderId="3" xfId="0" applyFont="1" applyFill="1" applyBorder="1" applyAlignment="1">
      <alignment horizontal="left" vertical="top" wrapText="1"/>
    </xf>
    <xf numFmtId="0" fontId="1013" fillId="5" borderId="3" xfId="0" applyFont="1" applyFill="1" applyBorder="1" applyAlignment="1">
      <alignment horizontal="left" vertical="top" wrapText="1"/>
    </xf>
    <xf numFmtId="0" fontId="1016" fillId="5" borderId="3" xfId="0" applyFont="1" applyFill="1" applyBorder="1" applyAlignment="1">
      <alignment horizontal="left" vertical="top" wrapText="1"/>
    </xf>
    <xf numFmtId="0" fontId="1019" fillId="5" borderId="3" xfId="0" applyFont="1" applyFill="1" applyBorder="1" applyAlignment="1">
      <alignment horizontal="left" vertical="top" wrapText="1"/>
    </xf>
    <xf numFmtId="0" fontId="1022" fillId="5" borderId="3" xfId="0" applyFont="1" applyFill="1" applyBorder="1" applyAlignment="1">
      <alignment horizontal="left" vertical="top" wrapText="1"/>
    </xf>
    <xf numFmtId="0" fontId="1023" fillId="5" borderId="3" xfId="0" applyFont="1" applyFill="1" applyBorder="1" applyAlignment="1">
      <alignment horizontal="left" vertical="top" wrapText="1"/>
    </xf>
    <xf numFmtId="0" fontId="1024" fillId="5" borderId="3" xfId="0" applyFont="1" applyFill="1" applyBorder="1" applyAlignment="1">
      <alignment horizontal="left" vertical="top" wrapText="1"/>
    </xf>
    <xf numFmtId="0" fontId="1025" fillId="5" borderId="3" xfId="0" applyFont="1" applyFill="1" applyBorder="1" applyAlignment="1">
      <alignment horizontal="left" vertical="top" wrapText="1"/>
    </xf>
    <xf numFmtId="0" fontId="1026" fillId="5" borderId="3" xfId="0" applyFont="1" applyFill="1" applyBorder="1" applyAlignment="1">
      <alignment horizontal="left" vertical="top" wrapText="1"/>
    </xf>
    <xf numFmtId="0" fontId="1027" fillId="5" borderId="3" xfId="0" applyFont="1" applyFill="1" applyBorder="1" applyAlignment="1">
      <alignment horizontal="left" vertical="top" wrapText="1"/>
    </xf>
    <xf numFmtId="0" fontId="1028" fillId="5" borderId="3" xfId="0" applyFont="1" applyFill="1" applyBorder="1" applyAlignment="1">
      <alignment horizontal="left" vertical="top" wrapText="1"/>
    </xf>
    <xf numFmtId="0" fontId="1029" fillId="5" borderId="3" xfId="0" applyFont="1" applyFill="1" applyBorder="1" applyAlignment="1">
      <alignment horizontal="left" vertical="top" wrapText="1"/>
    </xf>
    <xf numFmtId="0" fontId="1030" fillId="5" borderId="3" xfId="0" applyFont="1" applyFill="1" applyBorder="1" applyAlignment="1">
      <alignment horizontal="center" vertical="top"/>
    </xf>
    <xf numFmtId="0" fontId="1031" fillId="5" borderId="3" xfId="0" applyFont="1" applyFill="1" applyBorder="1" applyAlignment="1">
      <alignment horizontal="center" vertical="top"/>
    </xf>
    <xf numFmtId="0" fontId="1032" fillId="5" borderId="3" xfId="0" applyFont="1" applyFill="1" applyBorder="1" applyAlignment="1">
      <alignment horizontal="center" vertical="top"/>
    </xf>
    <xf numFmtId="0" fontId="1033" fillId="5" borderId="3" xfId="0" applyFont="1" applyFill="1" applyBorder="1" applyAlignment="1">
      <alignment horizontal="center" vertical="top"/>
    </xf>
    <xf numFmtId="0" fontId="1034" fillId="5" borderId="3" xfId="0" applyFont="1" applyFill="1" applyBorder="1" applyAlignment="1">
      <alignment horizontal="center" vertical="top"/>
    </xf>
    <xf numFmtId="0" fontId="1035" fillId="5" borderId="3" xfId="0" applyFont="1" applyFill="1" applyBorder="1" applyAlignment="1">
      <alignment horizontal="center" vertical="top"/>
    </xf>
    <xf numFmtId="0" fontId="1036" fillId="5" borderId="3" xfId="0" applyFont="1" applyFill="1" applyBorder="1" applyAlignment="1">
      <alignment horizontal="center" vertical="top"/>
    </xf>
    <xf numFmtId="0" fontId="1037" fillId="5" borderId="3" xfId="0" applyFont="1" applyFill="1" applyBorder="1" applyAlignment="1">
      <alignment horizontal="center" vertical="top"/>
    </xf>
    <xf numFmtId="0" fontId="1038" fillId="5" borderId="3" xfId="0" applyFont="1" applyFill="1" applyBorder="1" applyAlignment="1">
      <alignment horizontal="center" vertical="top"/>
    </xf>
    <xf numFmtId="0" fontId="1039" fillId="5" borderId="3" xfId="0" applyFont="1" applyFill="1" applyBorder="1" applyAlignment="1">
      <alignment horizontal="center" vertical="top"/>
    </xf>
    <xf numFmtId="0" fontId="1040" fillId="5" borderId="3" xfId="0" applyFont="1" applyFill="1" applyBorder="1" applyAlignment="1">
      <alignment horizontal="center" vertical="top"/>
    </xf>
    <xf numFmtId="0" fontId="1041" fillId="5" borderId="3" xfId="0" applyFont="1" applyFill="1" applyBorder="1" applyAlignment="1">
      <alignment horizontal="center" vertical="top"/>
    </xf>
    <xf numFmtId="0" fontId="1042" fillId="5" borderId="3" xfId="0" applyFont="1" applyFill="1" applyBorder="1" applyAlignment="1">
      <alignment horizontal="center" vertical="top"/>
    </xf>
    <xf numFmtId="0" fontId="1043" fillId="5" borderId="3" xfId="0" applyFont="1" applyFill="1" applyBorder="1" applyAlignment="1">
      <alignment horizontal="center" vertical="top"/>
    </xf>
    <xf numFmtId="0" fontId="1044" fillId="5" borderId="3" xfId="0" applyFont="1" applyFill="1" applyBorder="1" applyAlignment="1">
      <alignment horizontal="center" vertical="top"/>
    </xf>
    <xf numFmtId="0" fontId="1045" fillId="5" borderId="3" xfId="0" applyFont="1" applyFill="1" applyBorder="1" applyAlignment="1">
      <alignment horizontal="center" vertical="top"/>
    </xf>
    <xf numFmtId="0" fontId="1046" fillId="5" borderId="3" xfId="0" applyFont="1" applyFill="1" applyBorder="1" applyAlignment="1">
      <alignment horizontal="center" vertical="top"/>
    </xf>
    <xf numFmtId="0" fontId="1047" fillId="5" borderId="3" xfId="0" applyFont="1" applyFill="1" applyBorder="1" applyAlignment="1">
      <alignment horizontal="left" vertical="top" wrapText="1"/>
    </xf>
    <xf numFmtId="0" fontId="1048" fillId="5" borderId="3" xfId="0" applyFont="1" applyFill="1" applyBorder="1" applyAlignment="1">
      <alignment horizontal="left" vertical="top" wrapText="1"/>
    </xf>
    <xf numFmtId="0" fontId="1049" fillId="5" borderId="3" xfId="0" applyFont="1" applyFill="1" applyBorder="1" applyAlignment="1">
      <alignment horizontal="left" vertical="top" wrapText="1"/>
    </xf>
    <xf numFmtId="0" fontId="1050" fillId="5" borderId="3" xfId="0" applyFont="1" applyFill="1" applyBorder="1" applyAlignment="1">
      <alignment horizontal="left" vertical="top" wrapText="1"/>
    </xf>
    <xf numFmtId="0" fontId="1051" fillId="5" borderId="3" xfId="0" applyFont="1" applyFill="1" applyBorder="1" applyAlignment="1">
      <alignment horizontal="left" vertical="top" wrapText="1"/>
    </xf>
    <xf numFmtId="0" fontId="1052" fillId="5" borderId="3" xfId="0" applyFont="1" applyFill="1" applyBorder="1" applyAlignment="1">
      <alignment horizontal="left" vertical="top" wrapText="1"/>
    </xf>
    <xf numFmtId="0" fontId="1053" fillId="5" borderId="3" xfId="0" applyFont="1" applyFill="1" applyBorder="1" applyAlignment="1">
      <alignment horizontal="left" vertical="top" wrapText="1"/>
    </xf>
    <xf numFmtId="0" fontId="1054" fillId="5" borderId="3" xfId="0" applyFont="1" applyFill="1" applyBorder="1" applyAlignment="1">
      <alignment horizontal="left" vertical="top" wrapText="1"/>
    </xf>
    <xf numFmtId="0" fontId="1055" fillId="5" borderId="3" xfId="0" applyFont="1" applyFill="1" applyBorder="1" applyAlignment="1">
      <alignment horizontal="left" vertical="top" wrapText="1"/>
    </xf>
    <xf numFmtId="0" fontId="1056" fillId="5" borderId="3" xfId="0" applyFont="1" applyFill="1" applyBorder="1" applyAlignment="1">
      <alignment horizontal="left" vertical="top" wrapText="1"/>
    </xf>
    <xf numFmtId="0" fontId="1057" fillId="5" borderId="3" xfId="0" applyFont="1" applyFill="1" applyBorder="1" applyAlignment="1">
      <alignment horizontal="left" vertical="top" wrapText="1"/>
    </xf>
    <xf numFmtId="0" fontId="1058" fillId="5" borderId="3" xfId="0" applyFont="1" applyFill="1" applyBorder="1" applyAlignment="1">
      <alignment horizontal="left" vertical="top" wrapText="1"/>
    </xf>
    <xf numFmtId="0" fontId="1059" fillId="5" borderId="3" xfId="0" applyFont="1" applyFill="1" applyBorder="1" applyAlignment="1">
      <alignment horizontal="left" vertical="top" wrapText="1"/>
    </xf>
    <xf numFmtId="0" fontId="1060" fillId="5" borderId="3" xfId="0" applyFont="1" applyFill="1" applyBorder="1" applyAlignment="1">
      <alignment horizontal="left" vertical="top" wrapText="1"/>
    </xf>
    <xf numFmtId="0" fontId="1061" fillId="5" borderId="3" xfId="0" applyFont="1" applyFill="1" applyBorder="1" applyAlignment="1">
      <alignment horizontal="left" vertical="top" wrapText="1"/>
    </xf>
    <xf numFmtId="0" fontId="1062" fillId="5" borderId="3" xfId="0" applyFont="1" applyFill="1" applyBorder="1" applyAlignment="1">
      <alignment horizontal="left" vertical="top" wrapText="1"/>
    </xf>
    <xf numFmtId="0" fontId="1063" fillId="5" borderId="3" xfId="0" applyFont="1" applyFill="1" applyBorder="1" applyAlignment="1">
      <alignment horizontal="left" vertical="top" wrapText="1"/>
    </xf>
    <xf numFmtId="0" fontId="1064" fillId="5" borderId="3" xfId="0" applyFont="1" applyFill="1" applyBorder="1" applyAlignment="1">
      <alignment horizontal="left" vertical="top" wrapText="1"/>
    </xf>
    <xf numFmtId="0" fontId="1065" fillId="5" borderId="3" xfId="0" applyFont="1" applyFill="1" applyBorder="1" applyAlignment="1">
      <alignment horizontal="left" vertical="top" wrapText="1"/>
    </xf>
    <xf numFmtId="0" fontId="1066" fillId="5" borderId="3" xfId="0" applyFont="1" applyFill="1" applyBorder="1" applyAlignment="1">
      <alignment horizontal="left" vertical="top" wrapText="1"/>
    </xf>
    <xf numFmtId="0" fontId="1067" fillId="5" borderId="3" xfId="0" applyFont="1" applyFill="1" applyBorder="1" applyAlignment="1">
      <alignment horizontal="left" vertical="top" wrapText="1"/>
    </xf>
    <xf numFmtId="0" fontId="1068" fillId="5" borderId="3" xfId="0" applyFont="1" applyFill="1" applyBorder="1" applyAlignment="1">
      <alignment horizontal="left" vertical="top" wrapText="1"/>
    </xf>
    <xf numFmtId="0" fontId="1069" fillId="5" borderId="3" xfId="0" applyFont="1" applyFill="1" applyBorder="1" applyAlignment="1">
      <alignment horizontal="left" vertical="top" wrapText="1"/>
    </xf>
    <xf numFmtId="0" fontId="1070" fillId="5" borderId="3" xfId="0" applyFont="1" applyFill="1" applyBorder="1" applyAlignment="1">
      <alignment horizontal="left" vertical="top" wrapText="1"/>
    </xf>
    <xf numFmtId="0" fontId="1071" fillId="5" borderId="3" xfId="0" applyFont="1" applyFill="1" applyBorder="1" applyAlignment="1">
      <alignment horizontal="left" vertical="top" wrapText="1"/>
    </xf>
    <xf numFmtId="0" fontId="1072" fillId="5" borderId="3" xfId="0" applyFont="1" applyFill="1" applyBorder="1" applyAlignment="1">
      <alignment horizontal="left" vertical="top" wrapText="1"/>
    </xf>
    <xf numFmtId="0" fontId="1073" fillId="5" borderId="3" xfId="0" applyFont="1" applyFill="1" applyBorder="1" applyAlignment="1">
      <alignment horizontal="left" vertical="top" wrapText="1"/>
    </xf>
    <xf numFmtId="0" fontId="1074" fillId="5" borderId="3" xfId="0" applyFont="1" applyFill="1" applyBorder="1" applyAlignment="1">
      <alignment horizontal="left" vertical="top" wrapText="1"/>
    </xf>
    <xf numFmtId="0" fontId="1075" fillId="5" borderId="3" xfId="0" applyFont="1" applyFill="1" applyBorder="1" applyAlignment="1">
      <alignment horizontal="left" vertical="top" wrapText="1"/>
    </xf>
    <xf numFmtId="0" fontId="1076" fillId="5" borderId="3" xfId="0" applyFont="1" applyFill="1" applyBorder="1" applyAlignment="1">
      <alignment horizontal="left" vertical="top" wrapText="1"/>
    </xf>
    <xf numFmtId="0" fontId="1077" fillId="5" borderId="3" xfId="0" applyFont="1" applyFill="1" applyBorder="1" applyAlignment="1">
      <alignment horizontal="left" vertical="top" wrapText="1"/>
    </xf>
    <xf numFmtId="0" fontId="1078" fillId="5" borderId="3" xfId="0" applyFont="1" applyFill="1" applyBorder="1" applyAlignment="1">
      <alignment horizontal="left" vertical="top" wrapText="1"/>
    </xf>
    <xf numFmtId="0" fontId="1079" fillId="5" borderId="3" xfId="0" applyFont="1" applyFill="1" applyBorder="1" applyAlignment="1">
      <alignment horizontal="left" vertical="top" wrapText="1"/>
    </xf>
    <xf numFmtId="0" fontId="1080" fillId="5" borderId="3" xfId="0" applyFont="1" applyFill="1" applyBorder="1" applyAlignment="1">
      <alignment horizontal="left" vertical="top" wrapText="1"/>
    </xf>
    <xf numFmtId="0" fontId="1081" fillId="5" borderId="3" xfId="0" applyFont="1" applyFill="1" applyBorder="1" applyAlignment="1">
      <alignment horizontal="left" vertical="top" wrapText="1"/>
    </xf>
    <xf numFmtId="0" fontId="1084" fillId="5" borderId="3" xfId="0" applyFont="1" applyFill="1" applyBorder="1" applyAlignment="1">
      <alignment horizontal="left" vertical="top" wrapText="1"/>
    </xf>
    <xf numFmtId="0" fontId="1085" fillId="5" borderId="3" xfId="0" applyFont="1" applyFill="1" applyBorder="1" applyAlignment="1">
      <alignment horizontal="left" vertical="top" wrapText="1"/>
    </xf>
    <xf numFmtId="0" fontId="1090" fillId="5" borderId="3" xfId="0" applyFont="1" applyFill="1" applyBorder="1" applyAlignment="1">
      <alignment horizontal="left" vertical="top" wrapText="1"/>
    </xf>
    <xf numFmtId="0" fontId="1091" fillId="5" borderId="3" xfId="0" applyFont="1" applyFill="1" applyBorder="1" applyAlignment="1">
      <alignment horizontal="center" vertical="top"/>
    </xf>
    <xf numFmtId="0" fontId="1092" fillId="5" borderId="3" xfId="0" applyFont="1" applyFill="1" applyBorder="1" applyAlignment="1">
      <alignment horizontal="center" vertical="top"/>
    </xf>
    <xf numFmtId="0" fontId="1093" fillId="5" borderId="3" xfId="0" applyFont="1" applyFill="1" applyBorder="1" applyAlignment="1">
      <alignment horizontal="center" vertical="top"/>
    </xf>
    <xf numFmtId="0" fontId="1094" fillId="5" borderId="3" xfId="0" applyFont="1" applyFill="1" applyBorder="1" applyAlignment="1">
      <alignment horizontal="center" vertical="top"/>
    </xf>
    <xf numFmtId="0" fontId="1095" fillId="5" borderId="3" xfId="0" applyFont="1" applyFill="1" applyBorder="1" applyAlignment="1">
      <alignment horizontal="center" vertical="top"/>
    </xf>
    <xf numFmtId="0" fontId="1096" fillId="5" borderId="3" xfId="0" applyFont="1" applyFill="1" applyBorder="1" applyAlignment="1">
      <alignment horizontal="center" vertical="top"/>
    </xf>
    <xf numFmtId="0" fontId="1097" fillId="5" borderId="3" xfId="0" applyFont="1" applyFill="1" applyBorder="1" applyAlignment="1">
      <alignment horizontal="center" vertical="top"/>
    </xf>
    <xf numFmtId="0" fontId="1098" fillId="5" borderId="3" xfId="0" applyFont="1" applyFill="1" applyBorder="1" applyAlignment="1">
      <alignment horizontal="center" vertical="top"/>
    </xf>
    <xf numFmtId="0" fontId="1099" fillId="5" borderId="3" xfId="0" applyFont="1" applyFill="1" applyBorder="1" applyAlignment="1">
      <alignment horizontal="center" vertical="top"/>
    </xf>
    <xf numFmtId="0" fontId="1100" fillId="5" borderId="3" xfId="0" applyFont="1" applyFill="1" applyBorder="1" applyAlignment="1">
      <alignment horizontal="center" vertical="top"/>
    </xf>
    <xf numFmtId="0" fontId="1101" fillId="5" borderId="3" xfId="0" applyFont="1" applyFill="1" applyBorder="1" applyAlignment="1">
      <alignment horizontal="center" vertical="top"/>
    </xf>
    <xf numFmtId="0" fontId="1102" fillId="5" borderId="3" xfId="0" applyFont="1" applyFill="1" applyBorder="1" applyAlignment="1">
      <alignment horizontal="center" vertical="top"/>
    </xf>
    <xf numFmtId="0" fontId="1106" fillId="5" borderId="3" xfId="0" applyFont="1" applyFill="1" applyBorder="1" applyAlignment="1">
      <alignment horizontal="left" vertical="top" wrapText="1"/>
    </xf>
    <xf numFmtId="0" fontId="1107" fillId="5" borderId="3" xfId="0" applyFont="1" applyFill="1" applyBorder="1" applyAlignment="1">
      <alignment horizontal="left" vertical="top" wrapText="1"/>
    </xf>
    <xf numFmtId="0" fontId="1109" fillId="5" borderId="3" xfId="0" applyFont="1" applyFill="1" applyBorder="1" applyAlignment="1">
      <alignment horizontal="left" vertical="top" wrapText="1"/>
    </xf>
    <xf numFmtId="0" fontId="1110" fillId="5" borderId="3" xfId="0" applyFont="1" applyFill="1" applyBorder="1" applyAlignment="1">
      <alignment horizontal="left" vertical="top" wrapText="1"/>
    </xf>
    <xf numFmtId="0" fontId="1111" fillId="5" borderId="3" xfId="0" applyFont="1" applyFill="1" applyBorder="1" applyAlignment="1">
      <alignment horizontal="left" vertical="top" wrapText="1"/>
    </xf>
    <xf numFmtId="0" fontId="1118" fillId="5" borderId="3" xfId="0" applyFont="1" applyFill="1" applyBorder="1" applyAlignment="1">
      <alignment horizontal="left" vertical="top" wrapText="1"/>
    </xf>
    <xf numFmtId="0" fontId="1119" fillId="5" borderId="3" xfId="0" applyFont="1" applyFill="1" applyBorder="1" applyAlignment="1">
      <alignment horizontal="left" vertical="top" wrapText="1"/>
    </xf>
    <xf numFmtId="0" fontId="1120" fillId="5" borderId="3" xfId="0" applyFont="1" applyFill="1" applyBorder="1" applyAlignment="1">
      <alignment horizontal="left" vertical="top" wrapText="1"/>
    </xf>
    <xf numFmtId="0" fontId="1122" fillId="5" borderId="3" xfId="0" applyFont="1" applyFill="1" applyBorder="1" applyAlignment="1">
      <alignment horizontal="left" vertical="top" wrapText="1"/>
    </xf>
    <xf numFmtId="0" fontId="1123" fillId="5" borderId="3" xfId="0" applyFont="1" applyFill="1" applyBorder="1" applyAlignment="1">
      <alignment horizontal="left" vertical="top" wrapText="1"/>
    </xf>
    <xf numFmtId="0" fontId="1124" fillId="5" borderId="3" xfId="0" applyFont="1" applyFill="1" applyBorder="1" applyAlignment="1">
      <alignment horizontal="left" vertical="top" wrapText="1"/>
    </xf>
    <xf numFmtId="0" fontId="1125" fillId="5" borderId="3" xfId="0" applyFont="1" applyFill="1" applyBorder="1" applyAlignment="1">
      <alignment horizontal="left" vertical="top" wrapText="1"/>
    </xf>
    <xf numFmtId="0" fontId="1126" fillId="5" borderId="3" xfId="0" applyFont="1" applyFill="1" applyBorder="1" applyAlignment="1">
      <alignment horizontal="left" vertical="top" wrapText="1"/>
    </xf>
    <xf numFmtId="0" fontId="1127" fillId="5" borderId="3" xfId="0" applyFont="1" applyFill="1" applyBorder="1" applyAlignment="1">
      <alignment horizontal="left" vertical="top" wrapText="1"/>
    </xf>
    <xf numFmtId="0" fontId="1128" fillId="5" borderId="3" xfId="0" applyFont="1" applyFill="1" applyBorder="1" applyAlignment="1">
      <alignment horizontal="left" vertical="top" wrapText="1"/>
    </xf>
    <xf numFmtId="0" fontId="1129" fillId="5" borderId="3" xfId="0" applyFont="1" applyFill="1" applyBorder="1" applyAlignment="1">
      <alignment horizontal="left" vertical="top" wrapText="1"/>
    </xf>
    <xf numFmtId="0" fontId="1130" fillId="5" borderId="3" xfId="0" applyFont="1" applyFill="1" applyBorder="1" applyAlignment="1">
      <alignment horizontal="left" vertical="top" wrapText="1"/>
    </xf>
    <xf numFmtId="0" fontId="1131" fillId="5" borderId="3" xfId="0" applyFont="1" applyFill="1" applyBorder="1" applyAlignment="1">
      <alignment horizontal="center" vertical="top"/>
    </xf>
    <xf numFmtId="0" fontId="1132" fillId="5" borderId="3" xfId="0" applyFont="1" applyFill="1" applyBorder="1" applyAlignment="1">
      <alignment horizontal="center" vertical="top"/>
    </xf>
    <xf numFmtId="0" fontId="1133" fillId="5" borderId="3" xfId="0" applyFont="1" applyFill="1" applyBorder="1" applyAlignment="1">
      <alignment horizontal="left" vertical="top" wrapText="1"/>
    </xf>
    <xf numFmtId="0" fontId="1134" fillId="5" borderId="3" xfId="0" applyFont="1" applyFill="1" applyBorder="1" applyAlignment="1">
      <alignment horizontal="left" vertical="top" wrapText="1"/>
    </xf>
    <xf numFmtId="0" fontId="1135" fillId="5" borderId="3" xfId="0" applyFont="1" applyFill="1" applyBorder="1" applyAlignment="1">
      <alignment horizontal="left" vertical="top" wrapText="1"/>
    </xf>
    <xf numFmtId="0" fontId="1136" fillId="5" borderId="3" xfId="0" applyFont="1" applyFill="1" applyBorder="1" applyAlignment="1">
      <alignment horizontal="left" vertical="top" wrapText="1"/>
    </xf>
    <xf numFmtId="0" fontId="1137" fillId="5" borderId="3" xfId="0" applyFont="1" applyFill="1" applyBorder="1" applyAlignment="1">
      <alignment horizontal="center" vertical="top"/>
    </xf>
    <xf numFmtId="0" fontId="1138" fillId="5" borderId="3" xfId="0" applyFont="1" applyFill="1" applyBorder="1" applyAlignment="1">
      <alignment horizontal="center" vertical="top"/>
    </xf>
    <xf numFmtId="0" fontId="1139" fillId="5" borderId="3" xfId="0" applyFont="1" applyFill="1" applyBorder="1" applyAlignment="1">
      <alignment horizontal="left" vertical="top" wrapText="1"/>
    </xf>
    <xf numFmtId="0" fontId="1140" fillId="5" borderId="3" xfId="0" applyFont="1" applyFill="1" applyBorder="1" applyAlignment="1">
      <alignment horizontal="left" vertical="top" wrapText="1"/>
    </xf>
    <xf numFmtId="0" fontId="1141" fillId="5" borderId="3" xfId="0" applyFont="1" applyFill="1" applyBorder="1" applyAlignment="1">
      <alignment horizontal="left" vertical="top" wrapText="1"/>
    </xf>
    <xf numFmtId="0" fontId="1142" fillId="5" borderId="3" xfId="0" applyFont="1" applyFill="1" applyBorder="1" applyAlignment="1">
      <alignment horizontal="left" vertical="top" wrapText="1"/>
    </xf>
    <xf numFmtId="0" fontId="1149" fillId="5" borderId="3" xfId="0" applyFont="1" applyFill="1" applyBorder="1" applyAlignment="1">
      <alignment horizontal="left" vertical="top" wrapText="1"/>
    </xf>
    <xf numFmtId="0" fontId="1150" fillId="5" borderId="3" xfId="0" applyFont="1" applyFill="1" applyBorder="1" applyAlignment="1">
      <alignment horizontal="left" vertical="top" wrapText="1"/>
    </xf>
    <xf numFmtId="0" fontId="1152" fillId="5" borderId="3" xfId="0" applyFont="1" applyFill="1" applyBorder="1" applyAlignment="1">
      <alignment horizontal="left" vertical="top" wrapText="1"/>
    </xf>
    <xf numFmtId="0" fontId="1153" fillId="5" borderId="3" xfId="0" applyFont="1" applyFill="1" applyBorder="1" applyAlignment="1">
      <alignment horizontal="left" vertical="top" wrapText="1"/>
    </xf>
    <xf numFmtId="0" fontId="1154" fillId="5" borderId="3" xfId="0" applyFont="1" applyFill="1" applyBorder="1" applyAlignment="1">
      <alignment horizontal="left" vertical="top" wrapText="1"/>
    </xf>
    <xf numFmtId="0" fontId="1155" fillId="5" borderId="3" xfId="0" applyFont="1" applyFill="1" applyBorder="1" applyAlignment="1">
      <alignment horizontal="left" vertical="top" wrapText="1"/>
    </xf>
    <xf numFmtId="0" fontId="1156" fillId="5" borderId="3" xfId="0" applyFont="1" applyFill="1" applyBorder="1" applyAlignment="1">
      <alignment horizontal="left" vertical="top" wrapText="1"/>
    </xf>
    <xf numFmtId="0" fontId="1157" fillId="5" borderId="3" xfId="0" applyFont="1" applyFill="1" applyBorder="1" applyAlignment="1">
      <alignment horizontal="left" vertical="top" wrapText="1"/>
    </xf>
    <xf numFmtId="0" fontId="1158" fillId="5" borderId="3" xfId="0" applyFont="1" applyFill="1" applyBorder="1" applyAlignment="1">
      <alignment horizontal="left" vertical="top" wrapText="1"/>
    </xf>
    <xf numFmtId="0" fontId="1160" fillId="5" borderId="3" xfId="0" applyFont="1" applyFill="1" applyBorder="1" applyAlignment="1">
      <alignment horizontal="center" vertical="top"/>
    </xf>
    <xf numFmtId="0" fontId="1161" fillId="5" borderId="3" xfId="0" applyFont="1" applyFill="1" applyBorder="1" applyAlignment="1">
      <alignment horizontal="center" vertical="top"/>
    </xf>
    <xf numFmtId="0" fontId="1162" fillId="5" borderId="3" xfId="0" applyFont="1" applyFill="1" applyBorder="1" applyAlignment="1">
      <alignment horizontal="center" vertical="top"/>
    </xf>
    <xf numFmtId="0" fontId="1163" fillId="5" borderId="3" xfId="0" applyFont="1" applyFill="1" applyBorder="1" applyAlignment="1">
      <alignment horizontal="center" vertical="top"/>
    </xf>
    <xf numFmtId="0" fontId="1164" fillId="5" borderId="3" xfId="0" applyFont="1" applyFill="1" applyBorder="1" applyAlignment="1">
      <alignment horizontal="center" vertical="top"/>
    </xf>
    <xf numFmtId="0" fontId="1165" fillId="5" borderId="3" xfId="0" applyFont="1" applyFill="1" applyBorder="1" applyAlignment="1">
      <alignment horizontal="center" vertical="top"/>
    </xf>
    <xf numFmtId="0" fontId="1167" fillId="5" borderId="3" xfId="0" applyFont="1" applyFill="1" applyBorder="1" applyAlignment="1">
      <alignment horizontal="left" vertical="top" wrapText="1"/>
    </xf>
    <xf numFmtId="0" fontId="1168" fillId="5" borderId="3" xfId="0" applyFont="1" applyFill="1" applyBorder="1" applyAlignment="1">
      <alignment horizontal="left" vertical="top" wrapText="1"/>
    </xf>
    <xf numFmtId="0" fontId="1169" fillId="5" borderId="3" xfId="0" applyFont="1" applyFill="1" applyBorder="1" applyAlignment="1">
      <alignment horizontal="center" vertical="top"/>
    </xf>
    <xf numFmtId="0" fontId="1171" fillId="5" borderId="3" xfId="0" applyFont="1" applyFill="1" applyBorder="1" applyAlignment="1">
      <alignment horizontal="left" vertical="top" wrapText="1"/>
    </xf>
    <xf numFmtId="0" fontId="1172" fillId="5" borderId="3" xfId="0" applyFont="1" applyFill="1" applyBorder="1" applyAlignment="1">
      <alignment horizontal="center" vertical="top"/>
    </xf>
    <xf numFmtId="0" fontId="1173" fillId="5" borderId="3" xfId="0" applyFont="1" applyFill="1" applyBorder="1" applyAlignment="1">
      <alignment horizontal="left" vertical="top" wrapText="1"/>
    </xf>
    <xf numFmtId="0" fontId="1174" fillId="5" borderId="3" xfId="0" applyFont="1" applyFill="1" applyBorder="1" applyAlignment="1">
      <alignment horizontal="left" vertical="top" wrapText="1"/>
    </xf>
    <xf numFmtId="0" fontId="1175" fillId="5" borderId="3" xfId="0" applyFont="1" applyFill="1" applyBorder="1" applyAlignment="1">
      <alignment horizontal="left" vertical="top" wrapText="1"/>
    </xf>
    <xf numFmtId="0" fontId="1176" fillId="5" borderId="3" xfId="0" applyFont="1" applyFill="1" applyBorder="1" applyAlignment="1">
      <alignment horizontal="left" vertical="top" wrapText="1"/>
    </xf>
    <xf numFmtId="0" fontId="1177" fillId="5" borderId="3" xfId="0" applyFont="1" applyFill="1" applyBorder="1" applyAlignment="1">
      <alignment horizontal="left" vertical="top" wrapText="1"/>
    </xf>
    <xf numFmtId="0" fontId="1178" fillId="5" borderId="3" xfId="0" applyFont="1" applyFill="1" applyBorder="1" applyAlignment="1">
      <alignment horizontal="left" vertical="top" wrapText="1"/>
    </xf>
    <xf numFmtId="0" fontId="1179" fillId="5" borderId="3" xfId="0" applyFont="1" applyFill="1" applyBorder="1" applyAlignment="1">
      <alignment horizontal="left" vertical="top" wrapText="1"/>
    </xf>
    <xf numFmtId="0" fontId="1180" fillId="5" borderId="3" xfId="0" applyFont="1" applyFill="1" applyBorder="1" applyAlignment="1">
      <alignment horizontal="left" vertical="top" wrapText="1"/>
    </xf>
    <xf numFmtId="0" fontId="1181" fillId="5" borderId="3" xfId="0" applyFont="1" applyFill="1" applyBorder="1" applyAlignment="1">
      <alignment horizontal="center" vertical="top"/>
    </xf>
    <xf numFmtId="0" fontId="1182" fillId="5" borderId="3" xfId="0" applyFont="1" applyFill="1" applyBorder="1" applyAlignment="1">
      <alignment horizontal="center" vertical="top"/>
    </xf>
    <xf numFmtId="0" fontId="1183" fillId="5" borderId="3" xfId="0" applyFont="1" applyFill="1" applyBorder="1" applyAlignment="1">
      <alignment horizontal="center" vertical="top"/>
    </xf>
    <xf numFmtId="0" fontId="1184" fillId="5" borderId="3" xfId="0" applyFont="1" applyFill="1" applyBorder="1" applyAlignment="1">
      <alignment horizontal="left" vertical="top" wrapText="1"/>
    </xf>
    <xf numFmtId="0" fontId="1185" fillId="5" borderId="3" xfId="0" applyFont="1" applyFill="1" applyBorder="1" applyAlignment="1">
      <alignment horizontal="left" vertical="top" wrapText="1"/>
    </xf>
    <xf numFmtId="0" fontId="1186" fillId="5" borderId="3" xfId="0" applyFont="1" applyFill="1" applyBorder="1" applyAlignment="1">
      <alignment horizontal="left" vertical="top" wrapText="1"/>
    </xf>
    <xf numFmtId="0" fontId="1187" fillId="5" borderId="3" xfId="0" applyFont="1" applyFill="1" applyBorder="1" applyAlignment="1">
      <alignment horizontal="left" vertical="top" wrapText="1"/>
    </xf>
    <xf numFmtId="0" fontId="1188" fillId="5" borderId="3" xfId="0" applyFont="1" applyFill="1" applyBorder="1" applyAlignment="1">
      <alignment horizontal="left" vertical="top" wrapText="1"/>
    </xf>
    <xf numFmtId="0" fontId="1189" fillId="5" borderId="3" xfId="0" applyFont="1" applyFill="1" applyBorder="1" applyAlignment="1">
      <alignment horizontal="left" vertical="top" wrapText="1"/>
    </xf>
    <xf numFmtId="0" fontId="1190" fillId="5" borderId="3" xfId="0" applyFont="1" applyFill="1" applyBorder="1" applyAlignment="1">
      <alignment horizontal="left" vertical="top" wrapText="1"/>
    </xf>
    <xf numFmtId="0" fontId="1191" fillId="5" borderId="3" xfId="0" applyFont="1" applyFill="1" applyBorder="1" applyAlignment="1">
      <alignment horizontal="center" vertical="top"/>
    </xf>
    <xf numFmtId="0" fontId="1192" fillId="5" borderId="3" xfId="0" applyFont="1" applyFill="1" applyBorder="1" applyAlignment="1">
      <alignment horizontal="left" vertical="top" wrapText="1"/>
    </xf>
    <xf numFmtId="0" fontId="1193" fillId="5" borderId="3" xfId="0" applyFont="1" applyFill="1" applyBorder="1" applyAlignment="1">
      <alignment horizontal="left" vertical="top" wrapText="1"/>
    </xf>
    <xf numFmtId="0" fontId="1194" fillId="5" borderId="3" xfId="0" applyFont="1" applyFill="1" applyBorder="1" applyAlignment="1">
      <alignment horizontal="left" vertical="top" wrapText="1"/>
    </xf>
    <xf numFmtId="0" fontId="1201" fillId="5" borderId="3" xfId="0" applyFont="1" applyFill="1" applyBorder="1" applyAlignment="1">
      <alignment horizontal="left" vertical="top" wrapText="1"/>
    </xf>
    <xf numFmtId="0" fontId="1202" fillId="5" borderId="3" xfId="0" applyFont="1" applyFill="1" applyBorder="1" applyAlignment="1">
      <alignment horizontal="left" vertical="top" wrapText="1"/>
    </xf>
    <xf numFmtId="0" fontId="1203" fillId="5" borderId="3" xfId="0" applyFont="1" applyFill="1" applyBorder="1" applyAlignment="1">
      <alignment horizontal="left" vertical="top" wrapText="1"/>
    </xf>
    <xf numFmtId="0" fontId="1207" fillId="5" borderId="3" xfId="0" applyFont="1" applyFill="1" applyBorder="1" applyAlignment="1">
      <alignment horizontal="left" vertical="top" wrapText="1"/>
    </xf>
    <xf numFmtId="0" fontId="1211" fillId="5" borderId="3" xfId="0" applyFont="1" applyFill="1" applyBorder="1" applyAlignment="1">
      <alignment horizontal="left" vertical="top" wrapText="1"/>
    </xf>
    <xf numFmtId="0" fontId="1213" fillId="5" borderId="3" xfId="0" applyFont="1" applyFill="1" applyBorder="1" applyAlignment="1">
      <alignment horizontal="left" vertical="top" wrapText="1"/>
    </xf>
    <xf numFmtId="0" fontId="1217" fillId="5" borderId="3" xfId="0" applyFont="1" applyFill="1" applyBorder="1" applyAlignment="1">
      <alignment horizontal="left" vertical="top" wrapText="1"/>
    </xf>
    <xf numFmtId="49" fontId="0" fillId="0" borderId="0" xfId="0" applyNumberFormat="1"/>
    <xf numFmtId="0" fontId="1220" fillId="3" borderId="3" xfId="0" applyFont="1" applyFill="1" applyBorder="1" applyAlignment="1">
      <alignment horizontal="left" vertical="top" wrapText="1"/>
    </xf>
    <xf numFmtId="0" fontId="1223" fillId="4" borderId="3" xfId="0" applyFont="1" applyFill="1" applyBorder="1" applyAlignment="1">
      <alignment horizontal="center" vertical="top" wrapText="1"/>
    </xf>
    <xf numFmtId="0" fontId="1224" fillId="5" borderId="3" xfId="0" applyFont="1" applyFill="1" applyBorder="1" applyAlignment="1">
      <alignment vertical="top"/>
    </xf>
    <xf numFmtId="0" fontId="1225" fillId="5" borderId="3" xfId="0" applyFont="1" applyFill="1" applyBorder="1" applyAlignment="1">
      <alignment horizontal="center" vertical="top"/>
    </xf>
    <xf numFmtId="0" fontId="1226" fillId="5" borderId="3" xfId="0" applyFont="1" applyFill="1" applyBorder="1" applyAlignment="1">
      <alignment vertical="top"/>
    </xf>
    <xf numFmtId="0" fontId="1229" fillId="5" borderId="3" xfId="0" applyFont="1" applyFill="1" applyBorder="1" applyAlignment="1">
      <alignment horizontal="left" vertical="top" wrapText="1"/>
    </xf>
    <xf numFmtId="0" fontId="1230" fillId="5" borderId="3" xfId="0" applyFont="1" applyFill="1" applyBorder="1" applyAlignment="1">
      <alignment horizontal="left" vertical="top" wrapText="1"/>
    </xf>
    <xf numFmtId="0" fontId="1231" fillId="5" borderId="3" xfId="0" applyFont="1" applyFill="1" applyBorder="1" applyAlignment="1">
      <alignment horizontal="left" vertical="top" wrapText="1"/>
    </xf>
    <xf numFmtId="0" fontId="1247" fillId="5" borderId="3" xfId="0" applyFont="1" applyFill="1" applyBorder="1" applyAlignment="1">
      <alignment horizontal="center" vertical="top"/>
    </xf>
    <xf numFmtId="0" fontId="1248" fillId="5" borderId="3" xfId="0" applyFont="1" applyFill="1" applyBorder="1" applyAlignment="1">
      <alignment horizontal="left" vertical="top" wrapText="1"/>
    </xf>
    <xf numFmtId="0" fontId="1249" fillId="5" borderId="3" xfId="0" applyFont="1" applyFill="1" applyBorder="1" applyAlignment="1">
      <alignment horizontal="left" vertical="top" wrapText="1"/>
    </xf>
    <xf numFmtId="0" fontId="1250" fillId="5" borderId="3" xfId="0" applyFont="1" applyFill="1" applyBorder="1" applyAlignment="1">
      <alignment horizontal="center" vertical="top"/>
    </xf>
    <xf numFmtId="0" fontId="1251" fillId="5" borderId="3" xfId="0" applyFont="1" applyFill="1" applyBorder="1" applyAlignment="1">
      <alignment horizontal="left" vertical="top" wrapText="1"/>
    </xf>
    <xf numFmtId="0" fontId="1252" fillId="5" borderId="3" xfId="0" applyFont="1" applyFill="1" applyBorder="1" applyAlignment="1">
      <alignment horizontal="left" vertical="top" wrapText="1"/>
    </xf>
    <xf numFmtId="0" fontId="1253" fillId="5" borderId="3" xfId="0" applyFont="1" applyFill="1" applyBorder="1" applyAlignment="1">
      <alignment horizontal="left" vertical="top" wrapText="1"/>
    </xf>
    <xf numFmtId="0" fontId="1254" fillId="5" borderId="3" xfId="0" applyFont="1" applyFill="1" applyBorder="1" applyAlignment="1">
      <alignment horizontal="left" vertical="top" wrapText="1"/>
    </xf>
    <xf numFmtId="0" fontId="1255" fillId="5" borderId="3" xfId="0" applyFont="1" applyFill="1" applyBorder="1" applyAlignment="1">
      <alignment horizontal="left" vertical="top" wrapText="1"/>
    </xf>
    <xf numFmtId="0" fontId="1256" fillId="5" borderId="3" xfId="0" applyFont="1" applyFill="1" applyBorder="1" applyAlignment="1">
      <alignment horizontal="left" vertical="top" wrapText="1"/>
    </xf>
    <xf numFmtId="0" fontId="1257" fillId="5" borderId="3" xfId="0" applyFont="1" applyFill="1" applyBorder="1" applyAlignment="1">
      <alignment horizontal="left" vertical="top" wrapText="1"/>
    </xf>
    <xf numFmtId="0" fontId="1258" fillId="5" borderId="3" xfId="0" applyFont="1" applyFill="1" applyBorder="1" applyAlignment="1">
      <alignment horizontal="left" vertical="top" wrapText="1"/>
    </xf>
    <xf numFmtId="0" fontId="1259" fillId="5" borderId="3" xfId="0" applyFont="1" applyFill="1" applyBorder="1" applyAlignment="1">
      <alignment horizontal="center" vertical="top"/>
    </xf>
    <xf numFmtId="0" fontId="1260" fillId="5" borderId="3" xfId="0" applyFont="1" applyFill="1" applyBorder="1" applyAlignment="1">
      <alignment horizontal="center" vertical="top"/>
    </xf>
    <xf numFmtId="0" fontId="1261" fillId="5" borderId="3" xfId="0" applyFont="1" applyFill="1" applyBorder="1" applyAlignment="1">
      <alignment horizontal="center" vertical="top"/>
    </xf>
    <xf numFmtId="0" fontId="1262" fillId="5" borderId="3" xfId="0" applyFont="1" applyFill="1" applyBorder="1" applyAlignment="1">
      <alignment horizontal="center" vertical="top"/>
    </xf>
    <xf numFmtId="0" fontId="1263" fillId="5" borderId="3" xfId="0" applyFont="1" applyFill="1" applyBorder="1" applyAlignment="1">
      <alignment horizontal="center" vertical="top"/>
    </xf>
    <xf numFmtId="0" fontId="1264" fillId="5" borderId="3" xfId="0" applyFont="1" applyFill="1" applyBorder="1" applyAlignment="1">
      <alignment horizontal="left" vertical="top" wrapText="1"/>
    </xf>
    <xf numFmtId="0" fontId="1265" fillId="5" borderId="3" xfId="0" applyFont="1" applyFill="1" applyBorder="1" applyAlignment="1">
      <alignment horizontal="left" vertical="top" wrapText="1"/>
    </xf>
    <xf numFmtId="0" fontId="1266" fillId="5" borderId="3" xfId="0" applyFont="1" applyFill="1" applyBorder="1" applyAlignment="1">
      <alignment horizontal="left" vertical="top" wrapText="1"/>
    </xf>
    <xf numFmtId="0" fontId="1267" fillId="5" borderId="3" xfId="0" applyFont="1" applyFill="1" applyBorder="1" applyAlignment="1">
      <alignment horizontal="center" vertical="top"/>
    </xf>
    <xf numFmtId="0" fontId="1268" fillId="5" borderId="3" xfId="0" applyFont="1" applyFill="1" applyBorder="1" applyAlignment="1">
      <alignment horizontal="left" vertical="top" wrapText="1"/>
    </xf>
    <xf numFmtId="0" fontId="1269" fillId="5" borderId="3" xfId="0" applyFont="1" applyFill="1" applyBorder="1" applyAlignment="1">
      <alignment horizontal="left" vertical="top" wrapText="1"/>
    </xf>
    <xf numFmtId="0" fontId="1270" fillId="5" borderId="3" xfId="0" applyFont="1" applyFill="1" applyBorder="1" applyAlignment="1">
      <alignment horizontal="center" vertical="top"/>
    </xf>
    <xf numFmtId="0" fontId="1271" fillId="5" borderId="3" xfId="0" applyFont="1" applyFill="1" applyBorder="1" applyAlignment="1">
      <alignment horizontal="center" vertical="top"/>
    </xf>
    <xf numFmtId="0" fontId="1272" fillId="5" borderId="3" xfId="0" applyFont="1" applyFill="1" applyBorder="1" applyAlignment="1">
      <alignment horizontal="center" vertical="top"/>
    </xf>
    <xf numFmtId="0" fontId="1273" fillId="5" borderId="3" xfId="0" applyFont="1" applyFill="1" applyBorder="1" applyAlignment="1">
      <alignment horizontal="center" vertical="top"/>
    </xf>
    <xf numFmtId="0" fontId="1274" fillId="5" borderId="3" xfId="0" applyFont="1" applyFill="1" applyBorder="1" applyAlignment="1">
      <alignment horizontal="center" vertical="top"/>
    </xf>
    <xf numFmtId="0" fontId="1275" fillId="5" borderId="3" xfId="0" applyFont="1" applyFill="1" applyBorder="1" applyAlignment="1">
      <alignment horizontal="center" vertical="top"/>
    </xf>
    <xf numFmtId="0" fontId="1276" fillId="5" borderId="3" xfId="0" applyFont="1" applyFill="1" applyBorder="1" applyAlignment="1">
      <alignment horizontal="center" vertical="top"/>
    </xf>
    <xf numFmtId="0" fontId="1277" fillId="5" borderId="3" xfId="0" applyFont="1" applyFill="1" applyBorder="1" applyAlignment="1">
      <alignment horizontal="center" vertical="top"/>
    </xf>
    <xf numFmtId="0" fontId="1278" fillId="5" borderId="3" xfId="0" applyFont="1" applyFill="1" applyBorder="1" applyAlignment="1">
      <alignment horizontal="center" vertical="top"/>
    </xf>
    <xf numFmtId="0" fontId="1279" fillId="5" borderId="3" xfId="0" applyFont="1" applyFill="1" applyBorder="1" applyAlignment="1">
      <alignment horizontal="center" vertical="top"/>
    </xf>
    <xf numFmtId="0" fontId="1280" fillId="5" borderId="3" xfId="0" applyFont="1" applyFill="1" applyBorder="1" applyAlignment="1">
      <alignment horizontal="center" vertical="top"/>
    </xf>
    <xf numFmtId="0" fontId="1281" fillId="5" borderId="3" xfId="0" applyFont="1" applyFill="1" applyBorder="1" applyAlignment="1">
      <alignment horizontal="center" vertical="top"/>
    </xf>
    <xf numFmtId="0" fontId="1282" fillId="5" borderId="3" xfId="0" applyFont="1" applyFill="1" applyBorder="1" applyAlignment="1">
      <alignment horizontal="center" vertical="top"/>
    </xf>
    <xf numFmtId="0" fontId="1283" fillId="5" borderId="3" xfId="0" applyFont="1" applyFill="1" applyBorder="1" applyAlignment="1">
      <alignment horizontal="left" vertical="top" wrapText="1"/>
    </xf>
    <xf numFmtId="0" fontId="1284" fillId="5" borderId="3" xfId="0" applyFont="1" applyFill="1" applyBorder="1" applyAlignment="1">
      <alignment horizontal="left" vertical="top" wrapText="1"/>
    </xf>
    <xf numFmtId="0" fontId="1285" fillId="5" borderId="3" xfId="0" applyFont="1" applyFill="1" applyBorder="1" applyAlignment="1">
      <alignment horizontal="left" vertical="top" wrapText="1"/>
    </xf>
    <xf numFmtId="0" fontId="1286" fillId="5" borderId="3" xfId="0" applyFont="1" applyFill="1" applyBorder="1" applyAlignment="1">
      <alignment horizontal="left" vertical="top" wrapText="1"/>
    </xf>
    <xf numFmtId="0" fontId="1287" fillId="5" borderId="3" xfId="0" applyFont="1" applyFill="1" applyBorder="1" applyAlignment="1">
      <alignment horizontal="left" vertical="top" wrapText="1"/>
    </xf>
    <xf numFmtId="0" fontId="1288" fillId="5" borderId="3" xfId="0" applyFont="1" applyFill="1" applyBorder="1" applyAlignment="1">
      <alignment horizontal="left" vertical="top" wrapText="1"/>
    </xf>
    <xf numFmtId="0" fontId="1289" fillId="5" borderId="3" xfId="0" applyFont="1" applyFill="1" applyBorder="1" applyAlignment="1">
      <alignment horizontal="left" vertical="top" wrapText="1"/>
    </xf>
    <xf numFmtId="0" fontId="1290" fillId="5" borderId="3" xfId="0" applyFont="1" applyFill="1" applyBorder="1" applyAlignment="1">
      <alignment horizontal="left" vertical="top" wrapText="1"/>
    </xf>
    <xf numFmtId="0" fontId="1291" fillId="5" borderId="3" xfId="0" applyFont="1" applyFill="1" applyBorder="1" applyAlignment="1">
      <alignment horizontal="left" vertical="top" wrapText="1"/>
    </xf>
    <xf numFmtId="0" fontId="1292" fillId="5" borderId="3" xfId="0" applyFont="1" applyFill="1" applyBorder="1" applyAlignment="1">
      <alignment horizontal="left" vertical="top" wrapText="1"/>
    </xf>
    <xf numFmtId="0" fontId="1293" fillId="5" borderId="3" xfId="0" applyFont="1" applyFill="1" applyBorder="1" applyAlignment="1">
      <alignment horizontal="left" vertical="top" wrapText="1"/>
    </xf>
    <xf numFmtId="0" fontId="1294" fillId="5" borderId="3" xfId="0" applyFont="1" applyFill="1" applyBorder="1" applyAlignment="1">
      <alignment horizontal="left" vertical="top" wrapText="1"/>
    </xf>
    <xf numFmtId="0" fontId="1295" fillId="5" borderId="3" xfId="0" applyFont="1" applyFill="1" applyBorder="1" applyAlignment="1">
      <alignment horizontal="left" vertical="top" wrapText="1"/>
    </xf>
    <xf numFmtId="0" fontId="1296" fillId="5" borderId="3" xfId="0" applyFont="1" applyFill="1" applyBorder="1" applyAlignment="1">
      <alignment horizontal="left" vertical="top" wrapText="1"/>
    </xf>
    <xf numFmtId="0" fontId="1297" fillId="5" borderId="3" xfId="0" applyFont="1" applyFill="1" applyBorder="1" applyAlignment="1">
      <alignment horizontal="left" vertical="top" wrapText="1"/>
    </xf>
    <xf numFmtId="0" fontId="1298" fillId="5" borderId="3" xfId="0" applyFont="1" applyFill="1" applyBorder="1" applyAlignment="1">
      <alignment horizontal="left" vertical="top" wrapText="1"/>
    </xf>
    <xf numFmtId="0" fontId="1299" fillId="5" borderId="3" xfId="0" applyFont="1" applyFill="1" applyBorder="1" applyAlignment="1">
      <alignment horizontal="left" vertical="top" wrapText="1"/>
    </xf>
    <xf numFmtId="0" fontId="1300" fillId="5" borderId="3" xfId="0" applyFont="1" applyFill="1" applyBorder="1" applyAlignment="1">
      <alignment horizontal="left" vertical="top" wrapText="1"/>
    </xf>
    <xf numFmtId="0" fontId="1301" fillId="5" borderId="3" xfId="0" applyFont="1" applyFill="1" applyBorder="1" applyAlignment="1">
      <alignment horizontal="left" vertical="top" wrapText="1"/>
    </xf>
    <xf numFmtId="0" fontId="1302" fillId="5" borderId="3" xfId="0" applyFont="1" applyFill="1" applyBorder="1" applyAlignment="1">
      <alignment horizontal="left" vertical="top" wrapText="1"/>
    </xf>
    <xf numFmtId="0" fontId="1303" fillId="5" borderId="3" xfId="0" applyFont="1" applyFill="1" applyBorder="1" applyAlignment="1">
      <alignment horizontal="left" vertical="top" wrapText="1"/>
    </xf>
    <xf numFmtId="0" fontId="1304" fillId="5" borderId="3" xfId="0" applyFont="1" applyFill="1" applyBorder="1" applyAlignment="1">
      <alignment horizontal="left" vertical="top" wrapText="1"/>
    </xf>
    <xf numFmtId="0" fontId="1305" fillId="5" borderId="3" xfId="0" applyFont="1" applyFill="1" applyBorder="1" applyAlignment="1">
      <alignment horizontal="left" vertical="top" wrapText="1"/>
    </xf>
    <xf numFmtId="0" fontId="1306" fillId="5" borderId="3" xfId="0" applyFont="1" applyFill="1" applyBorder="1" applyAlignment="1">
      <alignment horizontal="left" vertical="top" wrapText="1"/>
    </xf>
    <xf numFmtId="0" fontId="1307" fillId="5" borderId="3" xfId="0" applyFont="1" applyFill="1" applyBorder="1" applyAlignment="1">
      <alignment horizontal="left" vertical="top" wrapText="1"/>
    </xf>
    <xf numFmtId="0" fontId="1308" fillId="5" borderId="3" xfId="0" applyFont="1" applyFill="1" applyBorder="1" applyAlignment="1">
      <alignment horizontal="left" vertical="top" wrapText="1"/>
    </xf>
    <xf numFmtId="0" fontId="1309" fillId="5" borderId="3" xfId="0" applyFont="1" applyFill="1" applyBorder="1" applyAlignment="1">
      <alignment horizontal="left" vertical="top" wrapText="1"/>
    </xf>
    <xf numFmtId="0" fontId="1310" fillId="5" borderId="3" xfId="0" applyFont="1" applyFill="1" applyBorder="1" applyAlignment="1">
      <alignment horizontal="left" vertical="top" wrapText="1"/>
    </xf>
    <xf numFmtId="0" fontId="1312" fillId="5" borderId="3" xfId="0" applyFont="1" applyFill="1" applyBorder="1" applyAlignment="1">
      <alignment horizontal="left" vertical="top" wrapText="1"/>
    </xf>
    <xf numFmtId="0" fontId="1319" fillId="5" borderId="3" xfId="0" applyFont="1" applyFill="1" applyBorder="1" applyAlignment="1">
      <alignment horizontal="left" vertical="top" wrapText="1"/>
    </xf>
    <xf numFmtId="0" fontId="1320" fillId="5" borderId="3" xfId="0" applyFont="1" applyFill="1" applyBorder="1" applyAlignment="1">
      <alignment horizontal="left" vertical="top" wrapText="1"/>
    </xf>
    <xf numFmtId="0" fontId="1321" fillId="5" borderId="3" xfId="0" applyFont="1" applyFill="1" applyBorder="1" applyAlignment="1">
      <alignment horizontal="left" vertical="top" wrapText="1"/>
    </xf>
    <xf numFmtId="0" fontId="1338" fillId="5" borderId="3" xfId="0" applyFont="1" applyFill="1" applyBorder="1" applyAlignment="1">
      <alignment horizontal="left" vertical="top" wrapText="1"/>
    </xf>
    <xf numFmtId="0" fontId="1345" fillId="5" borderId="3" xfId="0" applyFont="1" applyFill="1" applyBorder="1" applyAlignment="1">
      <alignment horizontal="center" vertical="top"/>
    </xf>
    <xf numFmtId="0" fontId="1346" fillId="5" borderId="3" xfId="0" applyFont="1" applyFill="1" applyBorder="1" applyAlignment="1">
      <alignment horizontal="center" vertical="top"/>
    </xf>
    <xf numFmtId="0" fontId="1347" fillId="5" borderId="3" xfId="0" applyFont="1" applyFill="1" applyBorder="1" applyAlignment="1">
      <alignment horizontal="left" vertical="top" wrapText="1"/>
    </xf>
    <xf numFmtId="0" fontId="1348" fillId="5" borderId="3" xfId="0" applyFont="1" applyFill="1" applyBorder="1" applyAlignment="1">
      <alignment horizontal="left" vertical="top" wrapText="1"/>
    </xf>
    <xf numFmtId="0" fontId="1349" fillId="5" borderId="3" xfId="0" applyFont="1" applyFill="1" applyBorder="1" applyAlignment="1">
      <alignment horizontal="left" vertical="top" wrapText="1"/>
    </xf>
    <xf numFmtId="0" fontId="1350" fillId="5" borderId="3" xfId="0" applyFont="1" applyFill="1" applyBorder="1" applyAlignment="1">
      <alignment horizontal="left" vertical="top" wrapText="1"/>
    </xf>
    <xf numFmtId="0" fontId="1351" fillId="5" borderId="3" xfId="0" applyFont="1" applyFill="1" applyBorder="1" applyAlignment="1">
      <alignment horizontal="left" vertical="top" wrapText="1"/>
    </xf>
    <xf numFmtId="0" fontId="1352" fillId="5" borderId="3" xfId="0" applyFont="1" applyFill="1" applyBorder="1" applyAlignment="1">
      <alignment horizontal="center" vertical="top"/>
    </xf>
    <xf numFmtId="0" fontId="1356" fillId="5" borderId="3" xfId="0" applyFont="1" applyFill="1" applyBorder="1" applyAlignment="1">
      <alignment horizontal="left" vertical="top" wrapText="1"/>
    </xf>
    <xf numFmtId="0" fontId="1357" fillId="5" borderId="3" xfId="0" applyFont="1" applyFill="1" applyBorder="1" applyAlignment="1">
      <alignment horizontal="left" vertical="top" wrapText="1"/>
    </xf>
    <xf numFmtId="0" fontId="1358" fillId="5" borderId="3" xfId="0" applyFont="1" applyFill="1" applyBorder="1" applyAlignment="1">
      <alignment horizontal="center" vertical="top"/>
    </xf>
    <xf numFmtId="0" fontId="1359" fillId="5" borderId="3" xfId="0" applyFont="1" applyFill="1" applyBorder="1" applyAlignment="1">
      <alignment horizontal="center" vertical="top"/>
    </xf>
    <xf numFmtId="0" fontId="1360" fillId="5" borderId="3" xfId="0" applyFont="1" applyFill="1" applyBorder="1" applyAlignment="1">
      <alignment horizontal="center" vertical="top"/>
    </xf>
    <xf numFmtId="0" fontId="1361" fillId="5" borderId="3" xfId="0" applyFont="1" applyFill="1" applyBorder="1" applyAlignment="1">
      <alignment horizontal="center" vertical="top"/>
    </xf>
    <xf numFmtId="0" fontId="1362" fillId="5" borderId="3" xfId="0" applyFont="1" applyFill="1" applyBorder="1" applyAlignment="1">
      <alignment horizontal="center" vertical="top"/>
    </xf>
    <xf numFmtId="0" fontId="1363" fillId="5" borderId="3" xfId="0" applyFont="1" applyFill="1" applyBorder="1" applyAlignment="1">
      <alignment horizontal="center" vertical="top"/>
    </xf>
    <xf numFmtId="0" fontId="1364" fillId="5" borderId="3" xfId="0" applyFont="1" applyFill="1" applyBorder="1" applyAlignment="1">
      <alignment horizontal="center" vertical="top"/>
    </xf>
    <xf numFmtId="0" fontId="1365" fillId="5" borderId="3" xfId="0" applyFont="1" applyFill="1" applyBorder="1" applyAlignment="1">
      <alignment horizontal="left" vertical="top" wrapText="1"/>
    </xf>
    <xf numFmtId="0" fontId="1366" fillId="5" borderId="3" xfId="0" applyFont="1" applyFill="1" applyBorder="1" applyAlignment="1">
      <alignment horizontal="left" vertical="top" wrapText="1"/>
    </xf>
    <xf numFmtId="0" fontId="1367" fillId="5" borderId="3" xfId="0" applyFont="1" applyFill="1" applyBorder="1" applyAlignment="1">
      <alignment horizontal="left" vertical="top" wrapText="1"/>
    </xf>
    <xf numFmtId="0" fontId="1368" fillId="5" borderId="3" xfId="0" applyFont="1" applyFill="1" applyBorder="1" applyAlignment="1">
      <alignment horizontal="left" vertical="top" wrapText="1"/>
    </xf>
    <xf numFmtId="0" fontId="1369" fillId="5" borderId="3" xfId="0" applyFont="1" applyFill="1" applyBorder="1" applyAlignment="1">
      <alignment horizontal="left" vertical="top" wrapText="1"/>
    </xf>
    <xf numFmtId="0" fontId="1370" fillId="5" borderId="3" xfId="0" applyFont="1" applyFill="1" applyBorder="1" applyAlignment="1">
      <alignment horizontal="left" vertical="top" wrapText="1"/>
    </xf>
    <xf numFmtId="0" fontId="1371" fillId="5" borderId="3" xfId="0" applyFont="1" applyFill="1" applyBorder="1" applyAlignment="1">
      <alignment horizontal="left" vertical="top" wrapText="1"/>
    </xf>
    <xf numFmtId="0" fontId="1372" fillId="5" borderId="3" xfId="0" applyFont="1" applyFill="1" applyBorder="1" applyAlignment="1">
      <alignment horizontal="left" vertical="top" wrapText="1"/>
    </xf>
    <xf numFmtId="0" fontId="1376" fillId="5" borderId="3" xfId="0" applyFont="1" applyFill="1" applyBorder="1" applyAlignment="1">
      <alignment horizontal="left" vertical="top" wrapText="1"/>
    </xf>
    <xf numFmtId="0" fontId="1377" fillId="5" borderId="3" xfId="0" applyFont="1" applyFill="1" applyBorder="1" applyAlignment="1">
      <alignment horizontal="left" vertical="top" wrapText="1"/>
    </xf>
    <xf numFmtId="0" fontId="1378" fillId="5" borderId="3" xfId="0" applyFont="1" applyFill="1" applyBorder="1" applyAlignment="1">
      <alignment horizontal="left" vertical="top" wrapText="1"/>
    </xf>
    <xf numFmtId="0" fontId="1379" fillId="5" borderId="3" xfId="0" applyFont="1" applyFill="1" applyBorder="1" applyAlignment="1">
      <alignment horizontal="left" vertical="top" wrapText="1"/>
    </xf>
    <xf numFmtId="0" fontId="1380" fillId="5" borderId="3" xfId="0" applyFont="1" applyFill="1" applyBorder="1" applyAlignment="1">
      <alignment horizontal="left" vertical="top" wrapText="1"/>
    </xf>
    <xf numFmtId="0" fontId="1381" fillId="5" borderId="3" xfId="0" applyFont="1" applyFill="1" applyBorder="1" applyAlignment="1">
      <alignment horizontal="left" vertical="top" wrapText="1"/>
    </xf>
    <xf numFmtId="0" fontId="1382" fillId="5" borderId="3" xfId="0" applyFont="1" applyFill="1" applyBorder="1" applyAlignment="1">
      <alignment horizontal="left" vertical="top" wrapText="1"/>
    </xf>
    <xf numFmtId="0" fontId="1383" fillId="5" borderId="3" xfId="0" applyFont="1" applyFill="1" applyBorder="1" applyAlignment="1">
      <alignment horizontal="center" vertical="top"/>
    </xf>
    <xf numFmtId="0" fontId="1384" fillId="5" borderId="3" xfId="0" applyFont="1" applyFill="1" applyBorder="1" applyAlignment="1">
      <alignment horizontal="center" vertical="top"/>
    </xf>
    <xf numFmtId="0" fontId="1385" fillId="5" borderId="3" xfId="0" applyFont="1" applyFill="1" applyBorder="1" applyAlignment="1">
      <alignment horizontal="center" vertical="top"/>
    </xf>
    <xf numFmtId="0" fontId="1386" fillId="5" borderId="3" xfId="0" applyFont="1" applyFill="1" applyBorder="1" applyAlignment="1">
      <alignment horizontal="center" vertical="top"/>
    </xf>
    <xf numFmtId="0" fontId="1387" fillId="5" borderId="3" xfId="0" applyFont="1" applyFill="1" applyBorder="1" applyAlignment="1">
      <alignment horizontal="center" vertical="top"/>
    </xf>
    <xf numFmtId="0" fontId="1388" fillId="5" borderId="3" xfId="0" applyFont="1" applyFill="1" applyBorder="1" applyAlignment="1">
      <alignment horizontal="center" vertical="top"/>
    </xf>
    <xf numFmtId="49" fontId="0" fillId="0" borderId="0" xfId="0" applyNumberFormat="1"/>
    <xf numFmtId="0" fontId="1389" fillId="3" borderId="3" xfId="0" applyFont="1" applyFill="1" applyBorder="1" applyAlignment="1">
      <alignment horizontal="left" vertical="top" wrapText="1"/>
    </xf>
    <xf numFmtId="0" fontId="1392" fillId="4" borderId="3" xfId="0" applyFont="1" applyFill="1" applyBorder="1" applyAlignment="1">
      <alignment horizontal="center" vertical="top" wrapText="1"/>
    </xf>
    <xf numFmtId="0" fontId="1393" fillId="5" borderId="3" xfId="0" applyFont="1" applyFill="1" applyBorder="1" applyAlignment="1">
      <alignment horizontal="left" vertical="top" wrapText="1"/>
    </xf>
    <xf numFmtId="0" fontId="1394" fillId="5" borderId="3" xfId="0" applyFont="1" applyFill="1" applyBorder="1" applyAlignment="1">
      <alignment horizontal="left" vertical="top" wrapText="1"/>
    </xf>
    <xf numFmtId="0" fontId="1395" fillId="5" borderId="3" xfId="0" applyFont="1" applyFill="1" applyBorder="1" applyAlignment="1">
      <alignment horizontal="left" vertical="top" wrapText="1"/>
    </xf>
    <xf numFmtId="0" fontId="1396" fillId="5" borderId="3" xfId="0" applyFont="1" applyFill="1" applyBorder="1" applyAlignment="1">
      <alignment horizontal="center" vertical="top"/>
    </xf>
    <xf numFmtId="0" fontId="1397" fillId="5" borderId="3" xfId="0" applyFont="1" applyFill="1" applyBorder="1" applyAlignment="1">
      <alignment horizontal="center" vertical="top"/>
    </xf>
    <xf numFmtId="0" fontId="1398" fillId="5" borderId="3" xfId="0" applyFont="1" applyFill="1" applyBorder="1" applyAlignment="1">
      <alignment horizontal="center" vertical="top"/>
    </xf>
    <xf numFmtId="0" fontId="1399" fillId="5" borderId="3" xfId="0" applyFont="1" applyFill="1" applyBorder="1" applyAlignment="1">
      <alignment horizontal="center" vertical="top"/>
    </xf>
    <xf numFmtId="0" fontId="1400" fillId="5" borderId="3" xfId="0" applyFont="1" applyFill="1" applyBorder="1" applyAlignment="1">
      <alignment horizontal="center" vertical="top"/>
    </xf>
    <xf numFmtId="0" fontId="1401" fillId="5" borderId="3" xfId="0" applyFont="1" applyFill="1" applyBorder="1" applyAlignment="1">
      <alignment horizontal="center" vertical="top"/>
    </xf>
    <xf numFmtId="0" fontId="1402" fillId="5" borderId="3" xfId="0" applyFont="1" applyFill="1" applyBorder="1" applyAlignment="1">
      <alignment horizontal="center" vertical="top"/>
    </xf>
    <xf numFmtId="0" fontId="1403" fillId="5" borderId="3" xfId="0" applyFont="1" applyFill="1" applyBorder="1" applyAlignment="1">
      <alignment horizontal="center" vertical="top"/>
    </xf>
    <xf numFmtId="0" fontId="1404" fillId="5" borderId="3" xfId="0" applyFont="1" applyFill="1" applyBorder="1" applyAlignment="1">
      <alignment horizontal="center" vertical="top"/>
    </xf>
    <xf numFmtId="0" fontId="1405" fillId="5" borderId="3" xfId="0" applyFont="1" applyFill="1" applyBorder="1" applyAlignment="1">
      <alignment horizontal="center" vertical="top"/>
    </xf>
    <xf numFmtId="0" fontId="1406" fillId="5" borderId="3" xfId="0" applyFont="1" applyFill="1" applyBorder="1" applyAlignment="1">
      <alignment horizontal="center" vertical="top"/>
    </xf>
    <xf numFmtId="0" fontId="1407" fillId="5" borderId="3" xfId="0" applyFont="1" applyFill="1" applyBorder="1" applyAlignment="1">
      <alignment horizontal="center" vertical="top"/>
    </xf>
    <xf numFmtId="0" fontId="1408" fillId="5" borderId="3" xfId="0" applyFont="1" applyFill="1" applyBorder="1" applyAlignment="1">
      <alignment horizontal="center" vertical="top"/>
    </xf>
    <xf numFmtId="0" fontId="1409" fillId="5" borderId="3" xfId="0" applyFont="1" applyFill="1" applyBorder="1" applyAlignment="1">
      <alignment horizontal="center" vertical="top"/>
    </xf>
    <xf numFmtId="0" fontId="1410" fillId="5" borderId="3" xfId="0" applyFont="1" applyFill="1" applyBorder="1" applyAlignment="1">
      <alignment horizontal="center" vertical="top"/>
    </xf>
    <xf numFmtId="0" fontId="1411" fillId="5" borderId="3" xfId="0" applyFont="1" applyFill="1" applyBorder="1" applyAlignment="1">
      <alignment horizontal="left" vertical="top" wrapText="1"/>
    </xf>
    <xf numFmtId="0" fontId="1412" fillId="5" borderId="3" xfId="0" applyFont="1" applyFill="1" applyBorder="1" applyAlignment="1">
      <alignment horizontal="left" vertical="top" wrapText="1"/>
    </xf>
    <xf numFmtId="0" fontId="1413" fillId="5" borderId="3" xfId="0" applyFont="1" applyFill="1" applyBorder="1" applyAlignment="1">
      <alignment horizontal="left" vertical="top" wrapText="1"/>
    </xf>
    <xf numFmtId="0" fontId="1414" fillId="5" borderId="3" xfId="0" applyFont="1" applyFill="1" applyBorder="1" applyAlignment="1">
      <alignment horizontal="left" vertical="top" wrapText="1"/>
    </xf>
    <xf numFmtId="0" fontId="1415" fillId="5" borderId="3" xfId="0" applyFont="1" applyFill="1" applyBorder="1" applyAlignment="1">
      <alignment horizontal="center" vertical="top"/>
    </xf>
    <xf numFmtId="0" fontId="1416" fillId="5" borderId="3" xfId="0" applyFont="1" applyFill="1" applyBorder="1" applyAlignment="1">
      <alignment horizontal="left" vertical="top" wrapText="1"/>
    </xf>
    <xf numFmtId="0" fontId="1417" fillId="5" borderId="3" xfId="0" applyFont="1" applyFill="1" applyBorder="1" applyAlignment="1">
      <alignment horizontal="left" vertical="top" wrapText="1"/>
    </xf>
    <xf numFmtId="0" fontId="1418" fillId="5" borderId="3" xfId="0" applyFont="1" applyFill="1" applyBorder="1" applyAlignment="1">
      <alignment horizontal="left" vertical="top" wrapText="1"/>
    </xf>
    <xf numFmtId="0" fontId="1419" fillId="5" borderId="3" xfId="0" applyFont="1" applyFill="1" applyBorder="1" applyAlignment="1">
      <alignment horizontal="left" vertical="top" wrapText="1"/>
    </xf>
    <xf numFmtId="0" fontId="1420" fillId="5" borderId="3" xfId="0" applyFont="1" applyFill="1" applyBorder="1" applyAlignment="1">
      <alignment horizontal="center" vertical="top"/>
    </xf>
    <xf numFmtId="0" fontId="1421" fillId="5" borderId="3" xfId="0" applyFont="1" applyFill="1" applyBorder="1" applyAlignment="1">
      <alignment horizontal="center" vertical="top"/>
    </xf>
    <xf numFmtId="0" fontId="1422" fillId="5" borderId="3" xfId="0" applyFont="1" applyFill="1" applyBorder="1" applyAlignment="1">
      <alignment horizontal="center" vertical="top"/>
    </xf>
    <xf numFmtId="0" fontId="1423" fillId="5" borderId="3" xfId="0" applyFont="1" applyFill="1" applyBorder="1" applyAlignment="1">
      <alignment horizontal="center" vertical="top"/>
    </xf>
    <xf numFmtId="0" fontId="1424" fillId="5" borderId="3" xfId="0" applyFont="1" applyFill="1" applyBorder="1" applyAlignment="1">
      <alignment horizontal="left" vertical="top" wrapText="1"/>
    </xf>
    <xf numFmtId="0" fontId="1425" fillId="5" borderId="3" xfId="0" applyFont="1" applyFill="1" applyBorder="1" applyAlignment="1">
      <alignment horizontal="left" vertical="top" wrapText="1"/>
    </xf>
    <xf numFmtId="0" fontId="1426" fillId="5" borderId="3" xfId="0" applyFont="1" applyFill="1" applyBorder="1" applyAlignment="1">
      <alignment horizontal="left" vertical="top" wrapText="1"/>
    </xf>
    <xf numFmtId="0" fontId="1427" fillId="5" borderId="3" xfId="0" applyFont="1" applyFill="1" applyBorder="1" applyAlignment="1">
      <alignment horizontal="center" vertical="top"/>
    </xf>
    <xf numFmtId="0" fontId="1428" fillId="5" borderId="3" xfId="0" applyFont="1" applyFill="1" applyBorder="1" applyAlignment="1">
      <alignment horizontal="left" vertical="top" wrapText="1"/>
    </xf>
    <xf numFmtId="0" fontId="1429" fillId="5" borderId="3" xfId="0" applyFont="1" applyFill="1" applyBorder="1" applyAlignment="1">
      <alignment horizontal="left" vertical="top" wrapText="1"/>
    </xf>
    <xf numFmtId="0" fontId="1430" fillId="5" borderId="3" xfId="0" applyFont="1" applyFill="1" applyBorder="1" applyAlignment="1">
      <alignment horizontal="left" vertical="top" wrapText="1"/>
    </xf>
    <xf numFmtId="0" fontId="1431" fillId="5" borderId="3" xfId="0" applyFont="1" applyFill="1" applyBorder="1" applyAlignment="1">
      <alignment horizontal="left" vertical="top" wrapText="1"/>
    </xf>
    <xf numFmtId="0" fontId="1432" fillId="5" borderId="3" xfId="0" applyFont="1" applyFill="1" applyBorder="1" applyAlignment="1">
      <alignment horizontal="left" vertical="top" wrapText="1"/>
    </xf>
    <xf numFmtId="0" fontId="1433" fillId="5" borderId="3" xfId="0" applyFont="1" applyFill="1" applyBorder="1" applyAlignment="1">
      <alignment horizontal="left" vertical="top" wrapText="1"/>
    </xf>
    <xf numFmtId="0" fontId="1434" fillId="5" borderId="3" xfId="0" applyFont="1" applyFill="1" applyBorder="1" applyAlignment="1">
      <alignment horizontal="left" vertical="top" wrapText="1"/>
    </xf>
    <xf numFmtId="0" fontId="1435" fillId="5" borderId="3" xfId="0" applyFont="1" applyFill="1" applyBorder="1" applyAlignment="1">
      <alignment horizontal="left" vertical="top" wrapText="1"/>
    </xf>
    <xf numFmtId="0" fontId="1436" fillId="5" borderId="3" xfId="0" applyFont="1" applyFill="1" applyBorder="1" applyAlignment="1">
      <alignment horizontal="left" vertical="top" wrapText="1"/>
    </xf>
    <xf numFmtId="0" fontId="1437" fillId="5" borderId="3" xfId="0" applyFont="1" applyFill="1" applyBorder="1" applyAlignment="1">
      <alignment horizontal="left" vertical="top" wrapText="1"/>
    </xf>
    <xf numFmtId="0" fontId="1438" fillId="5" borderId="3" xfId="0" applyFont="1" applyFill="1" applyBorder="1" applyAlignment="1">
      <alignment horizontal="left" vertical="top" wrapText="1"/>
    </xf>
    <xf numFmtId="0" fontId="1439" fillId="5" borderId="3" xfId="0" applyFont="1" applyFill="1" applyBorder="1" applyAlignment="1">
      <alignment horizontal="left" vertical="top" wrapText="1"/>
    </xf>
    <xf numFmtId="0" fontId="1440" fillId="5" borderId="3" xfId="0" applyFont="1" applyFill="1" applyBorder="1" applyAlignment="1">
      <alignment horizontal="left" vertical="top" wrapText="1"/>
    </xf>
    <xf numFmtId="0" fontId="1441" fillId="5" borderId="3" xfId="0" applyFont="1" applyFill="1" applyBorder="1" applyAlignment="1">
      <alignment horizontal="left" vertical="top" wrapText="1"/>
    </xf>
    <xf numFmtId="0" fontId="1442" fillId="5" borderId="3" xfId="0" applyFont="1" applyFill="1" applyBorder="1" applyAlignment="1">
      <alignment horizontal="left" vertical="top" wrapText="1"/>
    </xf>
    <xf numFmtId="0" fontId="1443" fillId="5" borderId="3" xfId="0" applyFont="1" applyFill="1" applyBorder="1" applyAlignment="1">
      <alignment horizontal="left" vertical="top" wrapText="1"/>
    </xf>
    <xf numFmtId="0" fontId="1444" fillId="5" borderId="3" xfId="0" applyFont="1" applyFill="1" applyBorder="1" applyAlignment="1">
      <alignment horizontal="left" vertical="top" wrapText="1"/>
    </xf>
    <xf numFmtId="0" fontId="1445" fillId="5" borderId="3" xfId="0" applyFont="1" applyFill="1" applyBorder="1" applyAlignment="1">
      <alignment horizontal="left" vertical="top" wrapText="1"/>
    </xf>
    <xf numFmtId="0" fontId="1446" fillId="5" borderId="3" xfId="0" applyFont="1" applyFill="1" applyBorder="1" applyAlignment="1">
      <alignment horizontal="left" vertical="top" wrapText="1"/>
    </xf>
    <xf numFmtId="0" fontId="1447" fillId="5" borderId="3" xfId="0" applyFont="1" applyFill="1" applyBorder="1" applyAlignment="1">
      <alignment horizontal="left" vertical="top" wrapText="1"/>
    </xf>
    <xf numFmtId="0" fontId="1448" fillId="5" borderId="3" xfId="0" applyFont="1" applyFill="1" applyBorder="1" applyAlignment="1">
      <alignment horizontal="left" vertical="top" wrapText="1"/>
    </xf>
    <xf numFmtId="0" fontId="1449" fillId="5" borderId="3" xfId="0" applyFont="1" applyFill="1" applyBorder="1" applyAlignment="1">
      <alignment horizontal="left" vertical="top" wrapText="1"/>
    </xf>
    <xf numFmtId="0" fontId="1450" fillId="5" borderId="3" xfId="0" applyFont="1" applyFill="1" applyBorder="1" applyAlignment="1">
      <alignment horizontal="left" vertical="top" wrapText="1"/>
    </xf>
    <xf numFmtId="0" fontId="1451" fillId="5" borderId="3" xfId="0" applyFont="1" applyFill="1" applyBorder="1" applyAlignment="1">
      <alignment horizontal="left" vertical="top" wrapText="1"/>
    </xf>
    <xf numFmtId="0" fontId="1452" fillId="5" borderId="3" xfId="0" applyFont="1" applyFill="1" applyBorder="1" applyAlignment="1">
      <alignment horizontal="left" vertical="top" wrapText="1"/>
    </xf>
    <xf numFmtId="0" fontId="1453" fillId="5" borderId="3" xfId="0" applyFont="1" applyFill="1" applyBorder="1" applyAlignment="1">
      <alignment horizontal="left" vertical="top" wrapText="1"/>
    </xf>
    <xf numFmtId="0" fontId="1454" fillId="5" borderId="3" xfId="0" applyFont="1" applyFill="1" applyBorder="1" applyAlignment="1">
      <alignment horizontal="left" vertical="top" wrapText="1"/>
    </xf>
    <xf numFmtId="0" fontId="1455" fillId="5" borderId="3" xfId="0" applyFont="1" applyFill="1" applyBorder="1" applyAlignment="1">
      <alignment horizontal="left" vertical="top" wrapText="1"/>
    </xf>
    <xf numFmtId="0" fontId="1456" fillId="5" borderId="3" xfId="0" applyFont="1" applyFill="1" applyBorder="1" applyAlignment="1">
      <alignment horizontal="left" vertical="top" wrapText="1"/>
    </xf>
    <xf numFmtId="0" fontId="1457" fillId="5" borderId="3" xfId="0" applyFont="1" applyFill="1" applyBorder="1" applyAlignment="1">
      <alignment horizontal="left" vertical="top" wrapText="1"/>
    </xf>
    <xf numFmtId="0" fontId="1458" fillId="5" borderId="3" xfId="0" applyFont="1" applyFill="1" applyBorder="1" applyAlignment="1">
      <alignment horizontal="left" vertical="top" wrapText="1"/>
    </xf>
    <xf numFmtId="0" fontId="1459" fillId="5" borderId="3" xfId="0" applyFont="1" applyFill="1" applyBorder="1" applyAlignment="1">
      <alignment horizontal="left" vertical="top" wrapText="1"/>
    </xf>
    <xf numFmtId="0" fontId="1460" fillId="5" borderId="3" xfId="0" applyFont="1" applyFill="1" applyBorder="1" applyAlignment="1">
      <alignment horizontal="left" vertical="top" wrapText="1"/>
    </xf>
    <xf numFmtId="0" fontId="1461" fillId="5" borderId="3" xfId="0" applyFont="1" applyFill="1" applyBorder="1" applyAlignment="1">
      <alignment horizontal="left" vertical="top" wrapText="1"/>
    </xf>
    <xf numFmtId="0" fontId="1462" fillId="5" borderId="3" xfId="0" applyFont="1" applyFill="1" applyBorder="1" applyAlignment="1">
      <alignment horizontal="left" vertical="top" wrapText="1"/>
    </xf>
    <xf numFmtId="0" fontId="1463" fillId="5" borderId="3" xfId="0" applyFont="1" applyFill="1" applyBorder="1" applyAlignment="1">
      <alignment horizontal="left" vertical="top" wrapText="1"/>
    </xf>
    <xf numFmtId="0" fontId="1464" fillId="5" borderId="3" xfId="0" applyFont="1" applyFill="1" applyBorder="1" applyAlignment="1">
      <alignment horizontal="left" vertical="top" wrapText="1"/>
    </xf>
    <xf numFmtId="0" fontId="1465" fillId="5" borderId="3" xfId="0" applyFont="1" applyFill="1" applyBorder="1" applyAlignment="1">
      <alignment horizontal="left" vertical="top" wrapText="1"/>
    </xf>
    <xf numFmtId="0" fontId="1466" fillId="5" borderId="3" xfId="0" applyFont="1" applyFill="1" applyBorder="1" applyAlignment="1">
      <alignment horizontal="left" vertical="top" wrapText="1"/>
    </xf>
    <xf numFmtId="0" fontId="1467" fillId="5" borderId="3" xfId="0" applyFont="1" applyFill="1" applyBorder="1" applyAlignment="1">
      <alignment horizontal="left" vertical="top" wrapText="1"/>
    </xf>
    <xf numFmtId="0" fontId="1468" fillId="5" borderId="3" xfId="0" applyFont="1" applyFill="1" applyBorder="1" applyAlignment="1">
      <alignment horizontal="left" vertical="top" wrapText="1"/>
    </xf>
    <xf numFmtId="0" fontId="1469" fillId="5" borderId="3" xfId="0" applyFont="1" applyFill="1" applyBorder="1" applyAlignment="1">
      <alignment horizontal="left" vertical="top" wrapText="1"/>
    </xf>
    <xf numFmtId="0" fontId="1470" fillId="5" borderId="3" xfId="0" applyFont="1" applyFill="1" applyBorder="1" applyAlignment="1">
      <alignment horizontal="left" vertical="top" wrapText="1"/>
    </xf>
    <xf numFmtId="0" fontId="1471" fillId="5" borderId="3" xfId="0" applyFont="1" applyFill="1" applyBorder="1" applyAlignment="1">
      <alignment horizontal="left" vertical="top" wrapText="1"/>
    </xf>
    <xf numFmtId="0" fontId="1472" fillId="5" borderId="3" xfId="0" applyFont="1" applyFill="1" applyBorder="1" applyAlignment="1">
      <alignment horizontal="left" vertical="top" wrapText="1"/>
    </xf>
    <xf numFmtId="0" fontId="1473" fillId="5" borderId="3" xfId="0" applyFont="1" applyFill="1" applyBorder="1" applyAlignment="1">
      <alignment horizontal="left" vertical="top" wrapText="1"/>
    </xf>
    <xf numFmtId="0" fontId="1474" fillId="5" borderId="3" xfId="0" applyFont="1" applyFill="1" applyBorder="1" applyAlignment="1">
      <alignment horizontal="left" vertical="top" wrapText="1"/>
    </xf>
    <xf numFmtId="0" fontId="1475" fillId="5" borderId="3" xfId="0" applyFont="1" applyFill="1" applyBorder="1" applyAlignment="1">
      <alignment horizontal="left" vertical="top" wrapText="1"/>
    </xf>
    <xf numFmtId="0" fontId="1476" fillId="5" borderId="3" xfId="0" applyFont="1" applyFill="1" applyBorder="1" applyAlignment="1">
      <alignment horizontal="left" vertical="top" wrapText="1"/>
    </xf>
    <xf numFmtId="0" fontId="1477" fillId="5" borderId="3" xfId="0" applyFont="1" applyFill="1" applyBorder="1" applyAlignment="1">
      <alignment horizontal="left" vertical="top" wrapText="1"/>
    </xf>
    <xf numFmtId="0" fontId="1478" fillId="5" borderId="3" xfId="0" applyFont="1" applyFill="1" applyBorder="1" applyAlignment="1">
      <alignment horizontal="left" vertical="top" wrapText="1"/>
    </xf>
    <xf numFmtId="0" fontId="1479" fillId="5" borderId="3" xfId="0" applyFont="1" applyFill="1" applyBorder="1" applyAlignment="1">
      <alignment horizontal="left" vertical="top" wrapText="1"/>
    </xf>
    <xf numFmtId="0" fontId="1480" fillId="5" borderId="3" xfId="0" applyFont="1" applyFill="1" applyBorder="1" applyAlignment="1">
      <alignment horizontal="left" vertical="top" wrapText="1"/>
    </xf>
    <xf numFmtId="0" fontId="1481" fillId="5" borderId="3" xfId="0" applyFont="1" applyFill="1" applyBorder="1" applyAlignment="1">
      <alignment horizontal="left" vertical="top" wrapText="1"/>
    </xf>
    <xf numFmtId="0" fontId="1482" fillId="5" borderId="3" xfId="0" applyFont="1" applyFill="1" applyBorder="1" applyAlignment="1">
      <alignment horizontal="left" vertical="top" wrapText="1"/>
    </xf>
    <xf numFmtId="0" fontId="1483" fillId="5" borderId="3" xfId="0" applyFont="1" applyFill="1" applyBorder="1" applyAlignment="1">
      <alignment horizontal="left" vertical="top" wrapText="1"/>
    </xf>
    <xf numFmtId="0" fontId="1484" fillId="5" borderId="3" xfId="0" applyFont="1" applyFill="1" applyBorder="1" applyAlignment="1">
      <alignment horizontal="left" vertical="top" wrapText="1"/>
    </xf>
    <xf numFmtId="0" fontId="1485" fillId="5" borderId="3" xfId="0" applyFont="1" applyFill="1" applyBorder="1" applyAlignment="1">
      <alignment horizontal="left" vertical="top" wrapText="1"/>
    </xf>
    <xf numFmtId="0" fontId="1486" fillId="5" borderId="3" xfId="0" applyFont="1" applyFill="1" applyBorder="1" applyAlignment="1">
      <alignment horizontal="left" vertical="top" wrapText="1"/>
    </xf>
    <xf numFmtId="0" fontId="1487" fillId="5" borderId="3" xfId="0" applyFont="1" applyFill="1" applyBorder="1" applyAlignment="1">
      <alignment horizontal="left" vertical="top" wrapText="1"/>
    </xf>
    <xf numFmtId="0" fontId="1488" fillId="5" borderId="3" xfId="0" applyFont="1" applyFill="1" applyBorder="1" applyAlignment="1">
      <alignment horizontal="left" vertical="top" wrapText="1"/>
    </xf>
    <xf numFmtId="0" fontId="1489" fillId="5" borderId="3" xfId="0" applyFont="1" applyFill="1" applyBorder="1" applyAlignment="1">
      <alignment horizontal="left" vertical="top" wrapText="1"/>
    </xf>
    <xf numFmtId="0" fontId="1490" fillId="5" borderId="3" xfId="0" applyFont="1" applyFill="1" applyBorder="1" applyAlignment="1">
      <alignment horizontal="left" vertical="top" wrapText="1"/>
    </xf>
    <xf numFmtId="0" fontId="1491" fillId="5" borderId="3" xfId="0" applyFont="1" applyFill="1" applyBorder="1" applyAlignment="1">
      <alignment horizontal="left" vertical="top" wrapText="1"/>
    </xf>
    <xf numFmtId="0" fontId="1492" fillId="5" borderId="3" xfId="0" applyFont="1" applyFill="1" applyBorder="1" applyAlignment="1">
      <alignment horizontal="left" vertical="top" wrapText="1"/>
    </xf>
    <xf numFmtId="0" fontId="1493" fillId="5" borderId="3" xfId="0" applyFont="1" applyFill="1" applyBorder="1" applyAlignment="1">
      <alignment horizontal="left" vertical="top" wrapText="1"/>
    </xf>
    <xf numFmtId="0" fontId="1494" fillId="5" borderId="3" xfId="0" applyFont="1" applyFill="1" applyBorder="1" applyAlignment="1">
      <alignment horizontal="left" vertical="top" wrapText="1"/>
    </xf>
    <xf numFmtId="0" fontId="1495" fillId="5" borderId="3" xfId="0" applyFont="1" applyFill="1" applyBorder="1" applyAlignment="1">
      <alignment horizontal="left" vertical="top" wrapText="1"/>
    </xf>
    <xf numFmtId="0" fontId="1496" fillId="5" borderId="3" xfId="0" applyFont="1" applyFill="1" applyBorder="1" applyAlignment="1">
      <alignment horizontal="left" vertical="top" wrapText="1"/>
    </xf>
    <xf numFmtId="0" fontId="1497" fillId="5" borderId="3" xfId="0" applyFont="1" applyFill="1" applyBorder="1" applyAlignment="1">
      <alignment horizontal="left" vertical="top" wrapText="1"/>
    </xf>
    <xf numFmtId="0" fontId="1498" fillId="5" borderId="3" xfId="0" applyFont="1" applyFill="1" applyBorder="1" applyAlignment="1">
      <alignment horizontal="left" vertical="top" wrapText="1"/>
    </xf>
    <xf numFmtId="0" fontId="1499" fillId="5" borderId="3" xfId="0" applyFont="1" applyFill="1" applyBorder="1" applyAlignment="1">
      <alignment horizontal="left" vertical="top" wrapText="1"/>
    </xf>
    <xf numFmtId="0" fontId="1500" fillId="5" borderId="3" xfId="0" applyFont="1" applyFill="1" applyBorder="1" applyAlignment="1">
      <alignment horizontal="left" vertical="top" wrapText="1"/>
    </xf>
    <xf numFmtId="0" fontId="1501" fillId="5" borderId="3" xfId="0" applyFont="1" applyFill="1" applyBorder="1" applyAlignment="1">
      <alignment horizontal="center" vertical="top"/>
    </xf>
    <xf numFmtId="0" fontId="1502" fillId="5" borderId="3" xfId="0" applyFont="1" applyFill="1" applyBorder="1" applyAlignment="1">
      <alignment horizontal="center" vertical="top"/>
    </xf>
    <xf numFmtId="0" fontId="1503" fillId="5" borderId="3" xfId="0" applyFont="1" applyFill="1" applyBorder="1" applyAlignment="1">
      <alignment horizontal="center" vertical="top"/>
    </xf>
    <xf numFmtId="0" fontId="1504" fillId="5" borderId="3" xfId="0" applyFont="1" applyFill="1" applyBorder="1" applyAlignment="1">
      <alignment horizontal="left" vertical="top" wrapText="1"/>
    </xf>
    <xf numFmtId="0" fontId="1505" fillId="5" borderId="3" xfId="0" applyFont="1" applyFill="1" applyBorder="1" applyAlignment="1">
      <alignment horizontal="left" vertical="top" wrapText="1"/>
    </xf>
    <xf numFmtId="0" fontId="1506" fillId="5" borderId="3" xfId="0" applyFont="1" applyFill="1" applyBorder="1" applyAlignment="1">
      <alignment horizontal="left" vertical="top" wrapText="1"/>
    </xf>
    <xf numFmtId="0" fontId="1507" fillId="5" borderId="3" xfId="0" applyFont="1" applyFill="1" applyBorder="1" applyAlignment="1">
      <alignment horizontal="left" vertical="top" wrapText="1"/>
    </xf>
    <xf numFmtId="0" fontId="1508" fillId="5" borderId="3" xfId="0" applyFont="1" applyFill="1" applyBorder="1" applyAlignment="1">
      <alignment horizontal="center" vertical="top"/>
    </xf>
    <xf numFmtId="0" fontId="1509" fillId="5" borderId="3" xfId="0" applyFont="1" applyFill="1" applyBorder="1" applyAlignment="1">
      <alignment horizontal="left" vertical="top" wrapText="1"/>
    </xf>
    <xf numFmtId="0" fontId="1510" fillId="5" borderId="3" xfId="0" applyFont="1" applyFill="1" applyBorder="1" applyAlignment="1">
      <alignment horizontal="left" vertical="top" wrapText="1"/>
    </xf>
    <xf numFmtId="0" fontId="1511" fillId="5" borderId="3" xfId="0" applyFont="1" applyFill="1" applyBorder="1" applyAlignment="1">
      <alignment horizontal="left" vertical="top" wrapText="1"/>
    </xf>
    <xf numFmtId="0" fontId="1512" fillId="5" borderId="3" xfId="0" applyFont="1" applyFill="1" applyBorder="1" applyAlignment="1">
      <alignment horizontal="left" vertical="top" wrapText="1"/>
    </xf>
    <xf numFmtId="0" fontId="1513" fillId="5" borderId="3" xfId="0" applyFont="1" applyFill="1" applyBorder="1" applyAlignment="1">
      <alignment horizontal="left" vertical="top" wrapText="1"/>
    </xf>
    <xf numFmtId="0" fontId="1514" fillId="5" borderId="3" xfId="0" applyFont="1" applyFill="1" applyBorder="1" applyAlignment="1">
      <alignment horizontal="left" vertical="top" wrapText="1"/>
    </xf>
    <xf numFmtId="0" fontId="1515" fillId="5" borderId="3" xfId="0" applyFont="1" applyFill="1" applyBorder="1" applyAlignment="1">
      <alignment horizontal="left" vertical="top" wrapText="1"/>
    </xf>
    <xf numFmtId="0" fontId="1516" fillId="5" borderId="3" xfId="0" applyFont="1" applyFill="1" applyBorder="1" applyAlignment="1">
      <alignment horizontal="left" vertical="top" wrapText="1"/>
    </xf>
    <xf numFmtId="0" fontId="1517" fillId="5" borderId="3" xfId="0" applyFont="1" applyFill="1" applyBorder="1" applyAlignment="1">
      <alignment horizontal="left" vertical="top" wrapText="1"/>
    </xf>
    <xf numFmtId="0" fontId="1518" fillId="5" borderId="3" xfId="0" applyFont="1" applyFill="1" applyBorder="1" applyAlignment="1">
      <alignment horizontal="center" vertical="top"/>
    </xf>
    <xf numFmtId="0" fontId="1519" fillId="5" borderId="3" xfId="0" applyFont="1" applyFill="1" applyBorder="1" applyAlignment="1">
      <alignment horizontal="center" vertical="top"/>
    </xf>
    <xf numFmtId="0" fontId="1520" fillId="5" borderId="3" xfId="0" applyFont="1" applyFill="1" applyBorder="1" applyAlignment="1">
      <alignment horizontal="center" vertical="top"/>
    </xf>
    <xf numFmtId="0" fontId="1521" fillId="5" borderId="3" xfId="0" applyFont="1" applyFill="1" applyBorder="1" applyAlignment="1">
      <alignment horizontal="center" vertical="top"/>
    </xf>
    <xf numFmtId="0" fontId="1522" fillId="5" borderId="3" xfId="0" applyFont="1" applyFill="1" applyBorder="1" applyAlignment="1">
      <alignment horizontal="center" vertical="top"/>
    </xf>
    <xf numFmtId="0" fontId="1523" fillId="5" borderId="3" xfId="0" applyFont="1" applyFill="1" applyBorder="1" applyAlignment="1">
      <alignment horizontal="center" vertical="top"/>
    </xf>
    <xf numFmtId="0" fontId="1524" fillId="5" borderId="3" xfId="0" applyFont="1" applyFill="1" applyBorder="1" applyAlignment="1">
      <alignment horizontal="center" vertical="top"/>
    </xf>
    <xf numFmtId="0" fontId="1525" fillId="5" borderId="3" xfId="0" applyFont="1" applyFill="1" applyBorder="1" applyAlignment="1">
      <alignment horizontal="center" vertical="top"/>
    </xf>
    <xf numFmtId="0" fontId="1526" fillId="5" borderId="3" xfId="0" applyFont="1" applyFill="1" applyBorder="1" applyAlignment="1">
      <alignment horizontal="center" vertical="top"/>
    </xf>
    <xf numFmtId="0" fontId="1527" fillId="5" borderId="3" xfId="0" applyFont="1" applyFill="1" applyBorder="1" applyAlignment="1">
      <alignment horizontal="center" vertical="top"/>
    </xf>
    <xf numFmtId="0" fontId="1528" fillId="5" borderId="3" xfId="0" applyFont="1" applyFill="1" applyBorder="1" applyAlignment="1">
      <alignment horizontal="center" vertical="top"/>
    </xf>
    <xf numFmtId="0" fontId="1529" fillId="5" borderId="3" xfId="0" applyFont="1" applyFill="1" applyBorder="1" applyAlignment="1">
      <alignment horizontal="center" vertical="top"/>
    </xf>
    <xf numFmtId="0" fontId="1530" fillId="5" borderId="3" xfId="0" applyFont="1" applyFill="1" applyBorder="1" applyAlignment="1">
      <alignment horizontal="center" vertical="top"/>
    </xf>
    <xf numFmtId="0" fontId="1531" fillId="5" borderId="3" xfId="0" applyFont="1" applyFill="1" applyBorder="1" applyAlignment="1">
      <alignment horizontal="center" vertical="top"/>
    </xf>
    <xf numFmtId="0" fontId="1532" fillId="5" borderId="3" xfId="0" applyFont="1" applyFill="1" applyBorder="1" applyAlignment="1">
      <alignment horizontal="left" vertical="top" wrapText="1"/>
    </xf>
    <xf numFmtId="0" fontId="1533" fillId="5" borderId="3" xfId="0" applyFont="1" applyFill="1" applyBorder="1" applyAlignment="1">
      <alignment horizontal="left" vertical="top" wrapText="1"/>
    </xf>
    <xf numFmtId="0" fontId="1534" fillId="5" borderId="3" xfId="0" applyFont="1" applyFill="1" applyBorder="1" applyAlignment="1">
      <alignment horizontal="left" vertical="top" wrapText="1"/>
    </xf>
    <xf numFmtId="0" fontId="1535" fillId="5" borderId="3" xfId="0" applyFont="1" applyFill="1" applyBorder="1" applyAlignment="1">
      <alignment horizontal="center" vertical="top"/>
    </xf>
    <xf numFmtId="0" fontId="1536" fillId="5" borderId="3" xfId="0" applyFont="1" applyFill="1" applyBorder="1" applyAlignment="1">
      <alignment horizontal="left" vertical="top" wrapText="1"/>
    </xf>
    <xf numFmtId="0" fontId="1537" fillId="5" borderId="3" xfId="0" applyFont="1" applyFill="1" applyBorder="1" applyAlignment="1">
      <alignment horizontal="left" vertical="top" wrapText="1"/>
    </xf>
    <xf numFmtId="0" fontId="1538" fillId="5" borderId="3" xfId="0" applyFont="1" applyFill="1" applyBorder="1" applyAlignment="1">
      <alignment horizontal="left" vertical="top" wrapText="1"/>
    </xf>
    <xf numFmtId="0" fontId="1539" fillId="5" borderId="3" xfId="0" applyFont="1" applyFill="1" applyBorder="1" applyAlignment="1">
      <alignment horizontal="center" vertical="top"/>
    </xf>
    <xf numFmtId="0" fontId="1540" fillId="5" borderId="3" xfId="0" applyFont="1" applyFill="1" applyBorder="1" applyAlignment="1">
      <alignment horizontal="left" vertical="top" wrapText="1"/>
    </xf>
    <xf numFmtId="0" fontId="1541" fillId="5" borderId="3" xfId="0" applyFont="1" applyFill="1" applyBorder="1" applyAlignment="1">
      <alignment horizontal="left" vertical="top" wrapText="1"/>
    </xf>
    <xf numFmtId="0" fontId="1542" fillId="5" borderId="3" xfId="0" applyFont="1" applyFill="1" applyBorder="1" applyAlignment="1">
      <alignment horizontal="left" vertical="top" wrapText="1"/>
    </xf>
    <xf numFmtId="0" fontId="1543" fillId="5" borderId="3" xfId="0" applyFont="1" applyFill="1" applyBorder="1" applyAlignment="1">
      <alignment horizontal="left" vertical="top" wrapText="1"/>
    </xf>
    <xf numFmtId="0" fontId="1544" fillId="5" borderId="3" xfId="0" applyFont="1" applyFill="1" applyBorder="1" applyAlignment="1">
      <alignment horizontal="left" vertical="top" wrapText="1"/>
    </xf>
    <xf numFmtId="0" fontId="1545" fillId="5" borderId="3" xfId="0" applyFont="1" applyFill="1" applyBorder="1" applyAlignment="1">
      <alignment horizontal="left" vertical="top" wrapText="1"/>
    </xf>
    <xf numFmtId="0" fontId="1546" fillId="5" borderId="3" xfId="0" applyFont="1" applyFill="1" applyBorder="1" applyAlignment="1">
      <alignment horizontal="left" vertical="top" wrapText="1"/>
    </xf>
    <xf numFmtId="0" fontId="1547" fillId="5" borderId="3" xfId="0" applyFont="1" applyFill="1" applyBorder="1" applyAlignment="1">
      <alignment horizontal="left" vertical="top" wrapText="1"/>
    </xf>
    <xf numFmtId="0" fontId="1548" fillId="5" borderId="3" xfId="0" applyFont="1" applyFill="1" applyBorder="1" applyAlignment="1">
      <alignment horizontal="left" vertical="top" wrapText="1"/>
    </xf>
    <xf numFmtId="0" fontId="1549" fillId="5" borderId="3" xfId="0" applyFont="1" applyFill="1" applyBorder="1" applyAlignment="1">
      <alignment horizontal="left" vertical="top" wrapText="1"/>
    </xf>
    <xf numFmtId="0" fontId="1550" fillId="5" borderId="3" xfId="0" applyFont="1" applyFill="1" applyBorder="1" applyAlignment="1">
      <alignment horizontal="left" vertical="top" wrapText="1"/>
    </xf>
    <xf numFmtId="0" fontId="1551" fillId="5" borderId="3" xfId="0" applyFont="1" applyFill="1" applyBorder="1" applyAlignment="1">
      <alignment horizontal="left" vertical="top" wrapText="1"/>
    </xf>
    <xf numFmtId="0" fontId="1552" fillId="5" borderId="3" xfId="0" applyFont="1" applyFill="1" applyBorder="1" applyAlignment="1">
      <alignment horizontal="left" vertical="top" wrapText="1"/>
    </xf>
    <xf numFmtId="0" fontId="1553" fillId="5" borderId="3" xfId="0" applyFont="1" applyFill="1" applyBorder="1" applyAlignment="1">
      <alignment horizontal="left" vertical="top" wrapText="1"/>
    </xf>
    <xf numFmtId="0" fontId="1554" fillId="5" borderId="3" xfId="0" applyFont="1" applyFill="1" applyBorder="1" applyAlignment="1">
      <alignment horizontal="left" vertical="top" wrapText="1"/>
    </xf>
    <xf numFmtId="0" fontId="1555" fillId="5" borderId="3" xfId="0" applyFont="1" applyFill="1" applyBorder="1" applyAlignment="1">
      <alignment horizontal="left" vertical="top" wrapText="1"/>
    </xf>
    <xf numFmtId="0" fontId="1556" fillId="5" borderId="3" xfId="0" applyFont="1" applyFill="1" applyBorder="1" applyAlignment="1">
      <alignment horizontal="left" vertical="top" wrapText="1"/>
    </xf>
    <xf numFmtId="0" fontId="1557" fillId="5" borderId="3" xfId="0" applyFont="1" applyFill="1" applyBorder="1" applyAlignment="1">
      <alignment horizontal="left" vertical="top" wrapText="1"/>
    </xf>
    <xf numFmtId="0" fontId="1558" fillId="5" borderId="3" xfId="0" applyFont="1" applyFill="1" applyBorder="1" applyAlignment="1">
      <alignment horizontal="left" vertical="top" wrapText="1"/>
    </xf>
    <xf numFmtId="0" fontId="1559" fillId="5" borderId="3" xfId="0" applyFont="1" applyFill="1" applyBorder="1" applyAlignment="1">
      <alignment horizontal="left" vertical="top" wrapText="1"/>
    </xf>
    <xf numFmtId="0" fontId="1560" fillId="5" borderId="3" xfId="0" applyFont="1" applyFill="1" applyBorder="1" applyAlignment="1">
      <alignment horizontal="left" vertical="top" wrapText="1"/>
    </xf>
    <xf numFmtId="0" fontId="1561" fillId="5" borderId="3" xfId="0" applyFont="1" applyFill="1" applyBorder="1" applyAlignment="1">
      <alignment horizontal="left" vertical="top" wrapText="1"/>
    </xf>
    <xf numFmtId="0" fontId="1562" fillId="5" borderId="3" xfId="0" applyFont="1" applyFill="1" applyBorder="1" applyAlignment="1">
      <alignment horizontal="left" vertical="top" wrapText="1"/>
    </xf>
    <xf numFmtId="0" fontId="1563" fillId="5" borderId="3" xfId="0" applyFont="1" applyFill="1" applyBorder="1" applyAlignment="1">
      <alignment horizontal="left" vertical="top" wrapText="1"/>
    </xf>
    <xf numFmtId="0" fontId="1564" fillId="5" borderId="3" xfId="0" applyFont="1" applyFill="1" applyBorder="1" applyAlignment="1">
      <alignment horizontal="left" vertical="top" wrapText="1"/>
    </xf>
    <xf numFmtId="0" fontId="1565" fillId="5" borderId="3" xfId="0" applyFont="1" applyFill="1" applyBorder="1" applyAlignment="1">
      <alignment horizontal="left" vertical="top" wrapText="1"/>
    </xf>
    <xf numFmtId="0" fontId="1566" fillId="5" borderId="3" xfId="0" applyFont="1" applyFill="1" applyBorder="1" applyAlignment="1">
      <alignment horizontal="left" vertical="top" wrapText="1"/>
    </xf>
    <xf numFmtId="0" fontId="1567" fillId="5" borderId="3" xfId="0" applyFont="1" applyFill="1" applyBorder="1" applyAlignment="1">
      <alignment horizontal="left" vertical="top" wrapText="1"/>
    </xf>
    <xf numFmtId="0" fontId="1568" fillId="5" borderId="3" xfId="0" applyFont="1" applyFill="1" applyBorder="1" applyAlignment="1">
      <alignment horizontal="left" vertical="top" wrapText="1"/>
    </xf>
    <xf numFmtId="0" fontId="1569" fillId="5" borderId="3" xfId="0" applyFont="1" applyFill="1" applyBorder="1" applyAlignment="1">
      <alignment horizontal="left" vertical="top" wrapText="1"/>
    </xf>
    <xf numFmtId="0" fontId="1570" fillId="5" borderId="3" xfId="0" applyFont="1" applyFill="1" applyBorder="1" applyAlignment="1">
      <alignment horizontal="left" vertical="top" wrapText="1"/>
    </xf>
    <xf numFmtId="0" fontId="1571" fillId="5" borderId="3" xfId="0" applyFont="1" applyFill="1" applyBorder="1" applyAlignment="1">
      <alignment horizontal="left" vertical="top" wrapText="1"/>
    </xf>
    <xf numFmtId="0" fontId="1572" fillId="5" borderId="3" xfId="0" applyFont="1" applyFill="1" applyBorder="1" applyAlignment="1">
      <alignment horizontal="center" vertical="top"/>
    </xf>
    <xf numFmtId="0" fontId="1573" fillId="5" borderId="3" xfId="0" applyFont="1" applyFill="1" applyBorder="1" applyAlignment="1">
      <alignment horizontal="center" vertical="top"/>
    </xf>
    <xf numFmtId="0" fontId="1574" fillId="5" borderId="3" xfId="0" applyFont="1" applyFill="1" applyBorder="1" applyAlignment="1">
      <alignment horizontal="center" vertical="top"/>
    </xf>
    <xf numFmtId="0" fontId="1575" fillId="5" borderId="3" xfId="0" applyFont="1" applyFill="1" applyBorder="1" applyAlignment="1">
      <alignment horizontal="left" vertical="top" wrapText="1"/>
    </xf>
    <xf numFmtId="0" fontId="1576" fillId="5" borderId="3" xfId="0" applyFont="1" applyFill="1" applyBorder="1" applyAlignment="1">
      <alignment horizontal="left" vertical="top" wrapText="1"/>
    </xf>
    <xf numFmtId="0" fontId="1577" fillId="5" borderId="3" xfId="0" applyFont="1" applyFill="1" applyBorder="1" applyAlignment="1">
      <alignment horizontal="left" vertical="top" wrapText="1"/>
    </xf>
    <xf numFmtId="0" fontId="1578" fillId="5" borderId="3" xfId="0" applyFont="1" applyFill="1" applyBorder="1" applyAlignment="1">
      <alignment horizontal="left" vertical="top" wrapText="1"/>
    </xf>
    <xf numFmtId="0" fontId="1579" fillId="5" borderId="3" xfId="0" applyFont="1" applyFill="1" applyBorder="1" applyAlignment="1">
      <alignment horizontal="center" vertical="top"/>
    </xf>
    <xf numFmtId="0" fontId="1580" fillId="5" borderId="3" xfId="0" applyFont="1" applyFill="1" applyBorder="1" applyAlignment="1">
      <alignment horizontal="center" vertical="top"/>
    </xf>
    <xf numFmtId="0" fontId="1581" fillId="5" borderId="3" xfId="0" applyFont="1" applyFill="1" applyBorder="1" applyAlignment="1">
      <alignment horizontal="center" vertical="top"/>
    </xf>
    <xf numFmtId="0" fontId="1582" fillId="5" borderId="3" xfId="0" applyFont="1" applyFill="1" applyBorder="1" applyAlignment="1">
      <alignment horizontal="center" vertical="top"/>
    </xf>
    <xf numFmtId="0" fontId="1583" fillId="5" borderId="3" xfId="0" applyFont="1" applyFill="1" applyBorder="1" applyAlignment="1">
      <alignment horizontal="center" vertical="top"/>
    </xf>
    <xf numFmtId="0" fontId="1584" fillId="5" borderId="3" xfId="0" applyFont="1" applyFill="1" applyBorder="1" applyAlignment="1">
      <alignment horizontal="center" vertical="top"/>
    </xf>
    <xf numFmtId="0" fontId="1585" fillId="5" borderId="3" xfId="0" applyFont="1" applyFill="1" applyBorder="1" applyAlignment="1">
      <alignment horizontal="center" vertical="top"/>
    </xf>
    <xf numFmtId="0" fontId="1586" fillId="5" borderId="3" xfId="0" applyFont="1" applyFill="1" applyBorder="1" applyAlignment="1">
      <alignment horizontal="center" vertical="top"/>
    </xf>
    <xf numFmtId="0" fontId="1587" fillId="5" borderId="3" xfId="0" applyFont="1" applyFill="1" applyBorder="1" applyAlignment="1">
      <alignment horizontal="center" vertical="top"/>
    </xf>
    <xf numFmtId="0" fontId="1588" fillId="5" borderId="3" xfId="0" applyFont="1" applyFill="1" applyBorder="1" applyAlignment="1">
      <alignment horizontal="center" vertical="top"/>
    </xf>
    <xf numFmtId="0" fontId="1589" fillId="5" borderId="3" xfId="0" applyFont="1" applyFill="1" applyBorder="1" applyAlignment="1">
      <alignment horizontal="center" vertical="top"/>
    </xf>
    <xf numFmtId="0" fontId="1590" fillId="5" borderId="3" xfId="0" applyFont="1" applyFill="1" applyBorder="1" applyAlignment="1">
      <alignment horizontal="center" vertical="top"/>
    </xf>
    <xf numFmtId="0" fontId="1591" fillId="5" borderId="3" xfId="0" applyFont="1" applyFill="1" applyBorder="1" applyAlignment="1">
      <alignment horizontal="center" vertical="top"/>
    </xf>
    <xf numFmtId="0" fontId="1592" fillId="5" borderId="3" xfId="0" applyFont="1" applyFill="1" applyBorder="1" applyAlignment="1">
      <alignment horizontal="center" vertical="top"/>
    </xf>
    <xf numFmtId="0" fontId="1593" fillId="5" borderId="3" xfId="0" applyFont="1" applyFill="1" applyBorder="1" applyAlignment="1">
      <alignment horizontal="left" vertical="top" wrapText="1"/>
    </xf>
    <xf numFmtId="0" fontId="1594" fillId="5" borderId="3" xfId="0" applyFont="1" applyFill="1" applyBorder="1" applyAlignment="1">
      <alignment horizontal="left" vertical="top" wrapText="1"/>
    </xf>
    <xf numFmtId="0" fontId="1595" fillId="5" borderId="3" xfId="0" applyFont="1" applyFill="1" applyBorder="1" applyAlignment="1">
      <alignment horizontal="left" vertical="top" wrapText="1"/>
    </xf>
    <xf numFmtId="0" fontId="1596" fillId="5" borderId="3" xfId="0" applyFont="1" applyFill="1" applyBorder="1" applyAlignment="1">
      <alignment horizontal="left" vertical="top" wrapText="1"/>
    </xf>
    <xf numFmtId="0" fontId="1597" fillId="5" borderId="3" xfId="0" applyFont="1" applyFill="1" applyBorder="1" applyAlignment="1">
      <alignment horizontal="left" vertical="top" wrapText="1"/>
    </xf>
    <xf numFmtId="0" fontId="1598" fillId="5" borderId="3" xfId="0" applyFont="1" applyFill="1" applyBorder="1" applyAlignment="1">
      <alignment horizontal="left" vertical="top" wrapText="1"/>
    </xf>
    <xf numFmtId="0" fontId="1599" fillId="5" borderId="3" xfId="0" applyFont="1" applyFill="1" applyBorder="1" applyAlignment="1">
      <alignment horizontal="left" vertical="top" wrapText="1"/>
    </xf>
    <xf numFmtId="0" fontId="1600" fillId="5" borderId="3" xfId="0" applyFont="1" applyFill="1" applyBorder="1" applyAlignment="1">
      <alignment horizontal="left" vertical="top" wrapText="1"/>
    </xf>
    <xf numFmtId="0" fontId="1601" fillId="5" borderId="3" xfId="0" applyFont="1" applyFill="1" applyBorder="1" applyAlignment="1">
      <alignment horizontal="left" vertical="top" wrapText="1"/>
    </xf>
    <xf numFmtId="0" fontId="1602" fillId="5" borderId="3" xfId="0" applyFont="1" applyFill="1" applyBorder="1" applyAlignment="1">
      <alignment horizontal="left" vertical="top" wrapText="1"/>
    </xf>
    <xf numFmtId="0" fontId="1603" fillId="5" borderId="3" xfId="0" applyFont="1" applyFill="1" applyBorder="1" applyAlignment="1">
      <alignment horizontal="left" vertical="top" wrapText="1"/>
    </xf>
    <xf numFmtId="0" fontId="1604" fillId="5" borderId="3" xfId="0" applyFont="1" applyFill="1" applyBorder="1" applyAlignment="1">
      <alignment horizontal="left" vertical="top" wrapText="1"/>
    </xf>
    <xf numFmtId="0" fontId="1605" fillId="5" borderId="3" xfId="0" applyFont="1" applyFill="1" applyBorder="1" applyAlignment="1">
      <alignment horizontal="left" vertical="top" wrapText="1"/>
    </xf>
    <xf numFmtId="0" fontId="1606" fillId="5" borderId="3" xfId="0" applyFont="1" applyFill="1" applyBorder="1" applyAlignment="1">
      <alignment horizontal="left" vertical="top" wrapText="1"/>
    </xf>
    <xf numFmtId="0" fontId="1607" fillId="5" borderId="3" xfId="0" applyFont="1" applyFill="1" applyBorder="1" applyAlignment="1">
      <alignment horizontal="left" vertical="top" wrapText="1"/>
    </xf>
    <xf numFmtId="0" fontId="1608" fillId="5" borderId="3" xfId="0" applyFont="1" applyFill="1" applyBorder="1" applyAlignment="1">
      <alignment horizontal="left" vertical="top" wrapText="1"/>
    </xf>
    <xf numFmtId="0" fontId="1609" fillId="5" borderId="3" xfId="0" applyFont="1" applyFill="1" applyBorder="1" applyAlignment="1">
      <alignment horizontal="left" vertical="top" wrapText="1"/>
    </xf>
    <xf numFmtId="0" fontId="1610" fillId="5" borderId="3" xfId="0" applyFont="1" applyFill="1" applyBorder="1" applyAlignment="1">
      <alignment horizontal="left" vertical="top" wrapText="1"/>
    </xf>
    <xf numFmtId="0" fontId="1611" fillId="5" borderId="3" xfId="0" applyFont="1" applyFill="1" applyBorder="1" applyAlignment="1">
      <alignment horizontal="left" vertical="top" wrapText="1"/>
    </xf>
    <xf numFmtId="0" fontId="1612" fillId="5" borderId="3" xfId="0" applyFont="1" applyFill="1" applyBorder="1" applyAlignment="1">
      <alignment horizontal="left" vertical="top" wrapText="1"/>
    </xf>
    <xf numFmtId="0" fontId="1613" fillId="5" borderId="3" xfId="0" applyFont="1" applyFill="1" applyBorder="1" applyAlignment="1">
      <alignment horizontal="left" vertical="top" wrapText="1"/>
    </xf>
    <xf numFmtId="0" fontId="1614" fillId="5" borderId="3" xfId="0" applyFont="1" applyFill="1" applyBorder="1" applyAlignment="1">
      <alignment horizontal="left" vertical="top" wrapText="1"/>
    </xf>
    <xf numFmtId="0" fontId="1615" fillId="5" borderId="3" xfId="0" applyFont="1" applyFill="1" applyBorder="1" applyAlignment="1">
      <alignment horizontal="left" vertical="top" wrapText="1"/>
    </xf>
    <xf numFmtId="0" fontId="1616" fillId="5" borderId="3" xfId="0" applyFont="1" applyFill="1" applyBorder="1" applyAlignment="1">
      <alignment horizontal="left" vertical="top" wrapText="1"/>
    </xf>
    <xf numFmtId="0" fontId="1617" fillId="5" borderId="3" xfId="0" applyFont="1" applyFill="1" applyBorder="1" applyAlignment="1">
      <alignment horizontal="left" vertical="top" wrapText="1"/>
    </xf>
    <xf numFmtId="0" fontId="1618" fillId="5" borderId="3" xfId="0" applyFont="1" applyFill="1" applyBorder="1" applyAlignment="1">
      <alignment horizontal="left" vertical="top" wrapText="1"/>
    </xf>
    <xf numFmtId="0" fontId="1619" fillId="5" borderId="3" xfId="0" applyFont="1" applyFill="1" applyBorder="1" applyAlignment="1">
      <alignment horizontal="left" vertical="top" wrapText="1"/>
    </xf>
    <xf numFmtId="0" fontId="1620" fillId="5" borderId="3" xfId="0" applyFont="1" applyFill="1" applyBorder="1" applyAlignment="1">
      <alignment horizontal="left" vertical="top" wrapText="1"/>
    </xf>
    <xf numFmtId="0" fontId="1621" fillId="5" borderId="3" xfId="0" applyFont="1" applyFill="1" applyBorder="1" applyAlignment="1">
      <alignment horizontal="left" vertical="top" wrapText="1"/>
    </xf>
    <xf numFmtId="0" fontId="1622" fillId="5" borderId="3" xfId="0" applyFont="1" applyFill="1" applyBorder="1" applyAlignment="1">
      <alignment horizontal="left" vertical="top" wrapText="1"/>
    </xf>
    <xf numFmtId="0" fontId="1623" fillId="5" borderId="3" xfId="0" applyFont="1" applyFill="1" applyBorder="1" applyAlignment="1">
      <alignment horizontal="left" vertical="top" wrapText="1"/>
    </xf>
    <xf numFmtId="0" fontId="1624" fillId="5" borderId="3" xfId="0" applyFont="1" applyFill="1" applyBorder="1" applyAlignment="1">
      <alignment horizontal="left" vertical="top" wrapText="1"/>
    </xf>
    <xf numFmtId="0" fontId="1625" fillId="5" borderId="3" xfId="0" applyFont="1" applyFill="1" applyBorder="1" applyAlignment="1">
      <alignment horizontal="left" vertical="top" wrapText="1"/>
    </xf>
    <xf numFmtId="0" fontId="1626" fillId="5" borderId="3" xfId="0" applyFont="1" applyFill="1" applyBorder="1" applyAlignment="1">
      <alignment horizontal="left" vertical="top" wrapText="1"/>
    </xf>
    <xf numFmtId="0" fontId="1627" fillId="5" borderId="3" xfId="0" applyFont="1" applyFill="1" applyBorder="1" applyAlignment="1">
      <alignment horizontal="left" vertical="top" wrapText="1"/>
    </xf>
    <xf numFmtId="0" fontId="1628" fillId="5" borderId="3" xfId="0" applyFont="1" applyFill="1" applyBorder="1" applyAlignment="1">
      <alignment horizontal="left" vertical="top" wrapText="1"/>
    </xf>
    <xf numFmtId="0" fontId="1629" fillId="5" borderId="3" xfId="0" applyFont="1" applyFill="1" applyBorder="1" applyAlignment="1">
      <alignment horizontal="left" vertical="top" wrapText="1"/>
    </xf>
    <xf numFmtId="0" fontId="1630" fillId="5" borderId="3" xfId="0" applyFont="1" applyFill="1" applyBorder="1" applyAlignment="1">
      <alignment horizontal="left" vertical="top" wrapText="1"/>
    </xf>
    <xf numFmtId="0" fontId="1631" fillId="5" borderId="3" xfId="0" applyFont="1" applyFill="1" applyBorder="1" applyAlignment="1">
      <alignment horizontal="left" vertical="top" wrapText="1"/>
    </xf>
    <xf numFmtId="0" fontId="1632" fillId="5" borderId="3" xfId="0" applyFont="1" applyFill="1" applyBorder="1" applyAlignment="1">
      <alignment horizontal="left" vertical="top" wrapText="1"/>
    </xf>
    <xf numFmtId="0" fontId="1633" fillId="5" borderId="3" xfId="0" applyFont="1" applyFill="1" applyBorder="1" applyAlignment="1">
      <alignment horizontal="left" vertical="top" wrapText="1"/>
    </xf>
    <xf numFmtId="0" fontId="1634" fillId="5" borderId="3" xfId="0" applyFont="1" applyFill="1" applyBorder="1" applyAlignment="1">
      <alignment horizontal="left" vertical="top" wrapText="1"/>
    </xf>
    <xf numFmtId="0" fontId="1635" fillId="5" borderId="3" xfId="0" applyFont="1" applyFill="1" applyBorder="1" applyAlignment="1">
      <alignment horizontal="left" vertical="top" wrapText="1"/>
    </xf>
    <xf numFmtId="0" fontId="1636" fillId="5" borderId="3" xfId="0" applyFont="1" applyFill="1" applyBorder="1" applyAlignment="1">
      <alignment horizontal="left" vertical="top" wrapText="1"/>
    </xf>
    <xf numFmtId="0" fontId="1637" fillId="5" borderId="3" xfId="0" applyFont="1" applyFill="1" applyBorder="1" applyAlignment="1">
      <alignment horizontal="left" vertical="top" wrapText="1"/>
    </xf>
    <xf numFmtId="0" fontId="1638" fillId="5" borderId="3" xfId="0" applyFont="1" applyFill="1" applyBorder="1" applyAlignment="1">
      <alignment horizontal="left" vertical="top" wrapText="1"/>
    </xf>
    <xf numFmtId="0" fontId="1639" fillId="5" borderId="3" xfId="0" applyFont="1" applyFill="1" applyBorder="1" applyAlignment="1">
      <alignment horizontal="left" vertical="top" wrapText="1"/>
    </xf>
    <xf numFmtId="0" fontId="1640" fillId="5" borderId="3" xfId="0" applyFont="1" applyFill="1" applyBorder="1" applyAlignment="1">
      <alignment horizontal="left" vertical="top" wrapText="1"/>
    </xf>
    <xf numFmtId="0" fontId="1641" fillId="5" borderId="3" xfId="0" applyFont="1" applyFill="1" applyBorder="1" applyAlignment="1">
      <alignment horizontal="left" vertical="top" wrapText="1"/>
    </xf>
    <xf numFmtId="0" fontId="1642" fillId="5" borderId="3" xfId="0" applyFont="1" applyFill="1" applyBorder="1" applyAlignment="1">
      <alignment horizontal="left" vertical="top" wrapText="1"/>
    </xf>
    <xf numFmtId="0" fontId="1643" fillId="5" borderId="3" xfId="0" applyFont="1" applyFill="1" applyBorder="1" applyAlignment="1">
      <alignment horizontal="left" vertical="top" wrapText="1"/>
    </xf>
    <xf numFmtId="0" fontId="1644" fillId="5" borderId="3" xfId="0" applyFont="1" applyFill="1" applyBorder="1" applyAlignment="1">
      <alignment horizontal="left" vertical="top" wrapText="1"/>
    </xf>
    <xf numFmtId="0" fontId="1645" fillId="5" borderId="3" xfId="0" applyFont="1" applyFill="1" applyBorder="1" applyAlignment="1">
      <alignment horizontal="left" vertical="top" wrapText="1"/>
    </xf>
    <xf numFmtId="0" fontId="1646" fillId="5" borderId="3" xfId="0" applyFont="1" applyFill="1" applyBorder="1" applyAlignment="1">
      <alignment horizontal="left" vertical="top" wrapText="1"/>
    </xf>
    <xf numFmtId="0" fontId="1647" fillId="5" borderId="3" xfId="0" applyFont="1" applyFill="1" applyBorder="1" applyAlignment="1">
      <alignment horizontal="left" vertical="top" wrapText="1"/>
    </xf>
    <xf numFmtId="0" fontId="1648" fillId="5" borderId="3" xfId="0" applyFont="1" applyFill="1" applyBorder="1" applyAlignment="1">
      <alignment horizontal="left" vertical="top" wrapText="1"/>
    </xf>
    <xf numFmtId="0" fontId="1649" fillId="5" borderId="3" xfId="0" applyFont="1" applyFill="1" applyBorder="1" applyAlignment="1">
      <alignment horizontal="left" vertical="top" wrapText="1"/>
    </xf>
    <xf numFmtId="0" fontId="1650" fillId="5" borderId="3" xfId="0" applyFont="1" applyFill="1" applyBorder="1" applyAlignment="1">
      <alignment horizontal="left" vertical="top" wrapText="1"/>
    </xf>
    <xf numFmtId="0" fontId="1651" fillId="5" borderId="3" xfId="0" applyFont="1" applyFill="1" applyBorder="1" applyAlignment="1">
      <alignment horizontal="left" vertical="top" wrapText="1"/>
    </xf>
    <xf numFmtId="0" fontId="1652" fillId="5" borderId="3" xfId="0" applyFont="1" applyFill="1" applyBorder="1" applyAlignment="1">
      <alignment horizontal="left" vertical="top" wrapText="1"/>
    </xf>
    <xf numFmtId="0" fontId="1653" fillId="5" borderId="3" xfId="0" applyFont="1" applyFill="1" applyBorder="1" applyAlignment="1">
      <alignment horizontal="left" vertical="top" wrapText="1"/>
    </xf>
    <xf numFmtId="0" fontId="1654" fillId="5" borderId="3" xfId="0" applyFont="1" applyFill="1" applyBorder="1" applyAlignment="1">
      <alignment horizontal="left" vertical="top" wrapText="1"/>
    </xf>
    <xf numFmtId="0" fontId="1655" fillId="5" borderId="3" xfId="0" applyFont="1" applyFill="1" applyBorder="1" applyAlignment="1">
      <alignment horizontal="left" vertical="top" wrapText="1"/>
    </xf>
    <xf numFmtId="0" fontId="1656" fillId="5" borderId="3" xfId="0" applyFont="1" applyFill="1" applyBorder="1" applyAlignment="1">
      <alignment horizontal="left" vertical="top" wrapText="1"/>
    </xf>
    <xf numFmtId="0" fontId="1657" fillId="5" borderId="3" xfId="0" applyFont="1" applyFill="1" applyBorder="1" applyAlignment="1">
      <alignment horizontal="left" vertical="top" wrapText="1"/>
    </xf>
    <xf numFmtId="0" fontId="1658" fillId="5" borderId="3" xfId="0" applyFont="1" applyFill="1" applyBorder="1" applyAlignment="1">
      <alignment horizontal="left" vertical="top" wrapText="1"/>
    </xf>
    <xf numFmtId="0" fontId="1659" fillId="5" borderId="3" xfId="0" applyFont="1" applyFill="1" applyBorder="1" applyAlignment="1">
      <alignment horizontal="left" vertical="top" wrapText="1"/>
    </xf>
    <xf numFmtId="0" fontId="1660" fillId="5" borderId="3" xfId="0" applyFont="1" applyFill="1" applyBorder="1" applyAlignment="1">
      <alignment horizontal="left" vertical="top" wrapText="1"/>
    </xf>
    <xf numFmtId="0" fontId="1661" fillId="5" borderId="3" xfId="0" applyFont="1" applyFill="1" applyBorder="1" applyAlignment="1">
      <alignment horizontal="center" vertical="top"/>
    </xf>
    <xf numFmtId="0" fontId="1662" fillId="5" borderId="3" xfId="0" applyFont="1" applyFill="1" applyBorder="1" applyAlignment="1">
      <alignment horizontal="left" vertical="top" wrapText="1"/>
    </xf>
    <xf numFmtId="0" fontId="1663" fillId="5" borderId="3" xfId="0" applyFont="1" applyFill="1" applyBorder="1" applyAlignment="1">
      <alignment horizontal="left" vertical="top" wrapText="1"/>
    </xf>
    <xf numFmtId="0" fontId="1664" fillId="5" borderId="3" xfId="0" applyFont="1" applyFill="1" applyBorder="1" applyAlignment="1">
      <alignment horizontal="left" vertical="top" wrapText="1"/>
    </xf>
    <xf numFmtId="0" fontId="1665" fillId="5" borderId="3" xfId="0" applyFont="1" applyFill="1" applyBorder="1" applyAlignment="1">
      <alignment horizontal="left" vertical="top" wrapText="1"/>
    </xf>
    <xf numFmtId="0" fontId="1666" fillId="5" borderId="3" xfId="0" applyFont="1" applyFill="1" applyBorder="1" applyAlignment="1">
      <alignment horizontal="left" vertical="top" wrapText="1"/>
    </xf>
    <xf numFmtId="0" fontId="1667" fillId="5" borderId="3" xfId="0" applyFont="1" applyFill="1" applyBorder="1" applyAlignment="1">
      <alignment horizontal="left" vertical="top" wrapText="1"/>
    </xf>
    <xf numFmtId="0" fontId="1668" fillId="5" borderId="3" xfId="0" applyFont="1" applyFill="1" applyBorder="1" applyAlignment="1">
      <alignment horizontal="left" vertical="top" wrapText="1"/>
    </xf>
    <xf numFmtId="0" fontId="1669" fillId="5" borderId="3" xfId="0" applyFont="1" applyFill="1" applyBorder="1" applyAlignment="1">
      <alignment horizontal="left" vertical="top" wrapText="1"/>
    </xf>
    <xf numFmtId="0" fontId="1670" fillId="5" borderId="3" xfId="0" applyFont="1" applyFill="1" applyBorder="1" applyAlignment="1">
      <alignment horizontal="left" vertical="top" wrapText="1"/>
    </xf>
    <xf numFmtId="0" fontId="1671" fillId="5" borderId="3" xfId="0" applyFont="1" applyFill="1" applyBorder="1" applyAlignment="1">
      <alignment horizontal="left" vertical="top" wrapText="1"/>
    </xf>
    <xf numFmtId="0" fontId="1672" fillId="5" borderId="3" xfId="0" applyFont="1" applyFill="1" applyBorder="1" applyAlignment="1">
      <alignment horizontal="left" vertical="top" wrapText="1"/>
    </xf>
    <xf numFmtId="0" fontId="1673" fillId="5" borderId="3" xfId="0" applyFont="1" applyFill="1" applyBorder="1" applyAlignment="1">
      <alignment horizontal="left" vertical="top" wrapText="1"/>
    </xf>
    <xf numFmtId="0" fontId="1674" fillId="5" borderId="3" xfId="0" applyFont="1" applyFill="1" applyBorder="1" applyAlignment="1">
      <alignment horizontal="left" vertical="top" wrapText="1"/>
    </xf>
    <xf numFmtId="0" fontId="1675" fillId="5" borderId="3" xfId="0" applyFont="1" applyFill="1" applyBorder="1" applyAlignment="1">
      <alignment horizontal="left" vertical="top" wrapText="1"/>
    </xf>
    <xf numFmtId="0" fontId="1676" fillId="5" borderId="3" xfId="0" applyFont="1" applyFill="1" applyBorder="1" applyAlignment="1">
      <alignment horizontal="left" vertical="top" wrapText="1"/>
    </xf>
    <xf numFmtId="0" fontId="1677" fillId="5" borderId="3" xfId="0" applyFont="1" applyFill="1" applyBorder="1" applyAlignment="1">
      <alignment horizontal="left" vertical="top" wrapText="1"/>
    </xf>
    <xf numFmtId="0" fontId="1678" fillId="5" borderId="3" xfId="0" applyFont="1" applyFill="1" applyBorder="1" applyAlignment="1">
      <alignment horizontal="left" vertical="top" wrapText="1"/>
    </xf>
    <xf numFmtId="0" fontId="1679" fillId="5" borderId="3" xfId="0" applyFont="1" applyFill="1" applyBorder="1" applyAlignment="1">
      <alignment horizontal="left" vertical="top" wrapText="1"/>
    </xf>
    <xf numFmtId="0" fontId="1680" fillId="5" borderId="3" xfId="0" applyFont="1" applyFill="1" applyBorder="1" applyAlignment="1">
      <alignment horizontal="left" vertical="top" wrapText="1"/>
    </xf>
    <xf numFmtId="0" fontId="1681" fillId="5" borderId="3" xfId="0" applyFont="1" applyFill="1" applyBorder="1" applyAlignment="1">
      <alignment horizontal="center" vertical="top"/>
    </xf>
    <xf numFmtId="0" fontId="1682" fillId="5" borderId="3" xfId="0" applyFont="1" applyFill="1" applyBorder="1" applyAlignment="1">
      <alignment horizontal="left" vertical="top" wrapText="1"/>
    </xf>
    <xf numFmtId="0" fontId="1683" fillId="5" borderId="3" xfId="0" applyFont="1" applyFill="1" applyBorder="1" applyAlignment="1">
      <alignment horizontal="left" vertical="top" wrapText="1"/>
    </xf>
    <xf numFmtId="0" fontId="1684" fillId="5" borderId="3" xfId="0" applyFont="1" applyFill="1" applyBorder="1" applyAlignment="1">
      <alignment horizontal="left" vertical="top" wrapText="1"/>
    </xf>
    <xf numFmtId="0" fontId="1685" fillId="5" borderId="3" xfId="0" applyFont="1" applyFill="1" applyBorder="1" applyAlignment="1">
      <alignment horizontal="left" vertical="top" wrapText="1"/>
    </xf>
    <xf numFmtId="0" fontId="1686" fillId="5" borderId="3" xfId="0" applyFont="1" applyFill="1" applyBorder="1" applyAlignment="1">
      <alignment horizontal="left" vertical="top" wrapText="1"/>
    </xf>
    <xf numFmtId="0" fontId="1687" fillId="5" borderId="3" xfId="0" applyFont="1" applyFill="1" applyBorder="1" applyAlignment="1">
      <alignment horizontal="left" vertical="top" wrapText="1"/>
    </xf>
    <xf numFmtId="0" fontId="1688" fillId="5" borderId="3" xfId="0" applyFont="1" applyFill="1" applyBorder="1" applyAlignment="1">
      <alignment horizontal="left" vertical="top" wrapText="1"/>
    </xf>
    <xf numFmtId="0" fontId="1689" fillId="5" borderId="3" xfId="0" applyFont="1" applyFill="1" applyBorder="1" applyAlignment="1">
      <alignment horizontal="left" vertical="top" wrapText="1"/>
    </xf>
    <xf numFmtId="0" fontId="1690" fillId="5" borderId="3" xfId="0" applyFont="1" applyFill="1" applyBorder="1" applyAlignment="1">
      <alignment horizontal="left" vertical="top" wrapText="1"/>
    </xf>
    <xf numFmtId="0" fontId="1691" fillId="5" borderId="3" xfId="0" applyFont="1" applyFill="1" applyBorder="1" applyAlignment="1">
      <alignment horizontal="left" vertical="top" wrapText="1"/>
    </xf>
    <xf numFmtId="0" fontId="1692" fillId="5" borderId="3" xfId="0" applyFont="1" applyFill="1" applyBorder="1" applyAlignment="1">
      <alignment horizontal="left" vertical="top" wrapText="1"/>
    </xf>
    <xf numFmtId="0" fontId="1693" fillId="5" borderId="3" xfId="0" applyFont="1" applyFill="1" applyBorder="1" applyAlignment="1">
      <alignment horizontal="left" vertical="top" wrapText="1"/>
    </xf>
    <xf numFmtId="0" fontId="1694" fillId="5" borderId="3" xfId="0" applyFont="1" applyFill="1" applyBorder="1" applyAlignment="1">
      <alignment horizontal="left" vertical="top" wrapText="1"/>
    </xf>
    <xf numFmtId="0" fontId="1695" fillId="5" borderId="3" xfId="0" applyFont="1" applyFill="1" applyBorder="1" applyAlignment="1">
      <alignment horizontal="left" vertical="top" wrapText="1"/>
    </xf>
    <xf numFmtId="0" fontId="1696" fillId="5" borderId="3" xfId="0" applyFont="1" applyFill="1" applyBorder="1" applyAlignment="1">
      <alignment horizontal="left" vertical="top" wrapText="1"/>
    </xf>
    <xf numFmtId="0" fontId="1697" fillId="5" borderId="3" xfId="0" applyFont="1" applyFill="1" applyBorder="1" applyAlignment="1">
      <alignment horizontal="left" vertical="top" wrapText="1"/>
    </xf>
    <xf numFmtId="0" fontId="1698" fillId="5" borderId="3" xfId="0" applyFont="1" applyFill="1" applyBorder="1" applyAlignment="1">
      <alignment horizontal="left" vertical="top" wrapText="1"/>
    </xf>
    <xf numFmtId="0" fontId="1699" fillId="5" borderId="3" xfId="0" applyFont="1" applyFill="1" applyBorder="1" applyAlignment="1">
      <alignment horizontal="left" vertical="top" wrapText="1"/>
    </xf>
    <xf numFmtId="0" fontId="1700" fillId="5" borderId="3" xfId="0" applyFont="1" applyFill="1" applyBorder="1" applyAlignment="1">
      <alignment horizontal="left" vertical="top" wrapText="1"/>
    </xf>
    <xf numFmtId="0" fontId="1701" fillId="5" borderId="3" xfId="0" applyFont="1" applyFill="1" applyBorder="1" applyAlignment="1">
      <alignment horizontal="left" vertical="top" wrapText="1"/>
    </xf>
    <xf numFmtId="0" fontId="1702" fillId="5" borderId="3" xfId="0" applyFont="1" applyFill="1" applyBorder="1" applyAlignment="1">
      <alignment horizontal="left" vertical="top" wrapText="1"/>
    </xf>
    <xf numFmtId="0" fontId="1703" fillId="5" borderId="3" xfId="0" applyFont="1" applyFill="1" applyBorder="1" applyAlignment="1">
      <alignment horizontal="left" vertical="top" wrapText="1"/>
    </xf>
    <xf numFmtId="0" fontId="1704" fillId="5" borderId="3" xfId="0" applyFont="1" applyFill="1" applyBorder="1" applyAlignment="1">
      <alignment horizontal="left" vertical="top" wrapText="1"/>
    </xf>
    <xf numFmtId="0" fontId="1705" fillId="5" borderId="3" xfId="0" applyFont="1" applyFill="1" applyBorder="1" applyAlignment="1">
      <alignment horizontal="left" vertical="top" wrapText="1"/>
    </xf>
    <xf numFmtId="0" fontId="1706" fillId="5" borderId="3" xfId="0" applyFont="1" applyFill="1" applyBorder="1" applyAlignment="1">
      <alignment horizontal="left" vertical="top" wrapText="1"/>
    </xf>
    <xf numFmtId="0" fontId="1707" fillId="5" borderId="3" xfId="0" applyFont="1" applyFill="1" applyBorder="1" applyAlignment="1">
      <alignment horizontal="left" vertical="top" wrapText="1"/>
    </xf>
    <xf numFmtId="0" fontId="1708" fillId="5" borderId="3" xfId="0" applyFont="1" applyFill="1" applyBorder="1" applyAlignment="1">
      <alignment horizontal="left" vertical="top" wrapText="1"/>
    </xf>
    <xf numFmtId="0" fontId="1709" fillId="5" borderId="3" xfId="0" applyFont="1" applyFill="1" applyBorder="1" applyAlignment="1">
      <alignment horizontal="center" vertical="top"/>
    </xf>
    <xf numFmtId="0" fontId="1710" fillId="5" borderId="3" xfId="0" applyFont="1" applyFill="1" applyBorder="1" applyAlignment="1">
      <alignment horizontal="center" vertical="top"/>
    </xf>
    <xf numFmtId="0" fontId="1711" fillId="5" borderId="3" xfId="0" applyFont="1" applyFill="1" applyBorder="1" applyAlignment="1">
      <alignment horizontal="center" vertical="top"/>
    </xf>
    <xf numFmtId="0" fontId="1712" fillId="5" borderId="3" xfId="0" applyFont="1" applyFill="1" applyBorder="1" applyAlignment="1">
      <alignment horizontal="center" vertical="top"/>
    </xf>
    <xf numFmtId="0" fontId="1713" fillId="5" borderId="3" xfId="0" applyFont="1" applyFill="1" applyBorder="1" applyAlignment="1">
      <alignment horizontal="center" vertical="top"/>
    </xf>
    <xf numFmtId="0" fontId="1714" fillId="5" borderId="3" xfId="0" applyFont="1" applyFill="1" applyBorder="1" applyAlignment="1">
      <alignment horizontal="center" vertical="top"/>
    </xf>
    <xf numFmtId="0" fontId="1715" fillId="5" borderId="3" xfId="0" applyFont="1" applyFill="1" applyBorder="1" applyAlignment="1">
      <alignment horizontal="center" vertical="top"/>
    </xf>
    <xf numFmtId="0" fontId="1716" fillId="5" borderId="3" xfId="0" applyFont="1" applyFill="1" applyBorder="1" applyAlignment="1">
      <alignment horizontal="center" vertical="top"/>
    </xf>
    <xf numFmtId="0" fontId="1717" fillId="5" borderId="3" xfId="0" applyFont="1" applyFill="1" applyBorder="1" applyAlignment="1">
      <alignment horizontal="center" vertical="top"/>
    </xf>
    <xf numFmtId="0" fontId="1718" fillId="5" borderId="3" xfId="0" applyFont="1" applyFill="1" applyBorder="1" applyAlignment="1">
      <alignment horizontal="center" vertical="top"/>
    </xf>
    <xf numFmtId="0" fontId="1719" fillId="5" borderId="3" xfId="0" applyFont="1" applyFill="1" applyBorder="1" applyAlignment="1">
      <alignment horizontal="left" vertical="top" wrapText="1"/>
    </xf>
    <xf numFmtId="0" fontId="1720" fillId="5" borderId="3" xfId="0" applyFont="1" applyFill="1" applyBorder="1" applyAlignment="1">
      <alignment horizontal="left" vertical="top" wrapText="1"/>
    </xf>
    <xf numFmtId="0" fontId="1721" fillId="5" borderId="3" xfId="0" applyFont="1" applyFill="1" applyBorder="1" applyAlignment="1">
      <alignment horizontal="left" vertical="top" wrapText="1"/>
    </xf>
    <xf numFmtId="0" fontId="1722" fillId="5" borderId="3" xfId="0" applyFont="1" applyFill="1" applyBorder="1" applyAlignment="1">
      <alignment horizontal="left" vertical="top" wrapText="1"/>
    </xf>
    <xf numFmtId="0" fontId="1723" fillId="5" borderId="3" xfId="0" applyFont="1" applyFill="1" applyBorder="1" applyAlignment="1">
      <alignment horizontal="left" vertical="top" wrapText="1"/>
    </xf>
    <xf numFmtId="0" fontId="1724" fillId="5" borderId="3" xfId="0" applyFont="1" applyFill="1" applyBorder="1" applyAlignment="1">
      <alignment horizontal="left" vertical="top" wrapText="1"/>
    </xf>
    <xf numFmtId="0" fontId="1725" fillId="5" borderId="3" xfId="0" applyFont="1" applyFill="1" applyBorder="1" applyAlignment="1">
      <alignment horizontal="left" vertical="top" wrapText="1"/>
    </xf>
    <xf numFmtId="0" fontId="1726" fillId="5" borderId="3" xfId="0" applyFont="1" applyFill="1" applyBorder="1" applyAlignment="1">
      <alignment horizontal="left" vertical="top" wrapText="1"/>
    </xf>
    <xf numFmtId="0" fontId="1727" fillId="5" borderId="3" xfId="0" applyFont="1" applyFill="1" applyBorder="1" applyAlignment="1">
      <alignment horizontal="left" vertical="top" wrapText="1"/>
    </xf>
    <xf numFmtId="0" fontId="1728" fillId="5" borderId="3" xfId="0" applyFont="1" applyFill="1" applyBorder="1" applyAlignment="1">
      <alignment horizontal="left" vertical="top" wrapText="1"/>
    </xf>
    <xf numFmtId="0" fontId="1729" fillId="5" borderId="3" xfId="0" applyFont="1" applyFill="1" applyBorder="1" applyAlignment="1">
      <alignment horizontal="left" vertical="top" wrapText="1"/>
    </xf>
    <xf numFmtId="0" fontId="1730" fillId="5" borderId="3" xfId="0" applyFont="1" applyFill="1" applyBorder="1" applyAlignment="1">
      <alignment horizontal="left" vertical="top" wrapText="1"/>
    </xf>
    <xf numFmtId="0" fontId="1731" fillId="5" borderId="3" xfId="0" applyFont="1" applyFill="1" applyBorder="1" applyAlignment="1">
      <alignment horizontal="left" vertical="top" wrapText="1"/>
    </xf>
    <xf numFmtId="0" fontId="1732" fillId="5" borderId="3" xfId="0" applyFont="1" applyFill="1" applyBorder="1" applyAlignment="1">
      <alignment horizontal="left" vertical="top" wrapText="1"/>
    </xf>
    <xf numFmtId="0" fontId="1733" fillId="5" borderId="3" xfId="0" applyFont="1" applyFill="1" applyBorder="1" applyAlignment="1">
      <alignment horizontal="left" vertical="top" wrapText="1"/>
    </xf>
    <xf numFmtId="0" fontId="1734" fillId="5" borderId="3" xfId="0" applyFont="1" applyFill="1" applyBorder="1" applyAlignment="1">
      <alignment horizontal="left" vertical="top" wrapText="1"/>
    </xf>
    <xf numFmtId="0" fontId="1735" fillId="5" borderId="3" xfId="0" applyFont="1" applyFill="1" applyBorder="1" applyAlignment="1">
      <alignment horizontal="left" vertical="top" wrapText="1"/>
    </xf>
    <xf numFmtId="0" fontId="1736" fillId="5" borderId="3" xfId="0" applyFont="1" applyFill="1" applyBorder="1" applyAlignment="1">
      <alignment horizontal="left" vertical="top" wrapText="1"/>
    </xf>
    <xf numFmtId="0" fontId="1737" fillId="5" borderId="3" xfId="0" applyFont="1" applyFill="1" applyBorder="1" applyAlignment="1">
      <alignment horizontal="left" vertical="top" wrapText="1"/>
    </xf>
    <xf numFmtId="0" fontId="1738" fillId="5" borderId="3" xfId="0" applyFont="1" applyFill="1" applyBorder="1" applyAlignment="1">
      <alignment horizontal="left" vertical="top" wrapText="1"/>
    </xf>
    <xf numFmtId="0" fontId="1739" fillId="5" borderId="3" xfId="0" applyFont="1" applyFill="1" applyBorder="1" applyAlignment="1">
      <alignment horizontal="left" vertical="top" wrapText="1"/>
    </xf>
    <xf numFmtId="0" fontId="1740" fillId="5" borderId="3" xfId="0" applyFont="1" applyFill="1" applyBorder="1" applyAlignment="1">
      <alignment horizontal="left" vertical="top" wrapText="1"/>
    </xf>
    <xf numFmtId="0" fontId="1741" fillId="5" borderId="3" xfId="0" applyFont="1" applyFill="1" applyBorder="1" applyAlignment="1">
      <alignment horizontal="left" vertical="top" wrapText="1"/>
    </xf>
    <xf numFmtId="0" fontId="1742" fillId="5" borderId="3" xfId="0" applyFont="1" applyFill="1" applyBorder="1" applyAlignment="1">
      <alignment horizontal="left" vertical="top" wrapText="1"/>
    </xf>
    <xf numFmtId="0" fontId="1743" fillId="5" borderId="3" xfId="0" applyFont="1" applyFill="1" applyBorder="1" applyAlignment="1">
      <alignment horizontal="left" vertical="top" wrapText="1"/>
    </xf>
    <xf numFmtId="0" fontId="1744" fillId="5" borderId="3" xfId="0" applyFont="1" applyFill="1" applyBorder="1" applyAlignment="1">
      <alignment horizontal="left" vertical="top" wrapText="1"/>
    </xf>
    <xf numFmtId="0" fontId="1745" fillId="5" borderId="3" xfId="0" applyFont="1" applyFill="1" applyBorder="1" applyAlignment="1">
      <alignment horizontal="left" vertical="top" wrapText="1"/>
    </xf>
    <xf numFmtId="0" fontId="1746" fillId="5" borderId="3" xfId="0" applyFont="1" applyFill="1" applyBorder="1" applyAlignment="1">
      <alignment horizontal="left" vertical="top" wrapText="1"/>
    </xf>
    <xf numFmtId="0" fontId="1747" fillId="5" borderId="3" xfId="0" applyFont="1" applyFill="1" applyBorder="1" applyAlignment="1">
      <alignment horizontal="left" vertical="top" wrapText="1"/>
    </xf>
    <xf numFmtId="0" fontId="1748" fillId="5" borderId="3" xfId="0" applyFont="1" applyFill="1" applyBorder="1" applyAlignment="1">
      <alignment horizontal="left" vertical="top" wrapText="1"/>
    </xf>
    <xf numFmtId="0" fontId="1749" fillId="5" borderId="3" xfId="0" applyFont="1" applyFill="1" applyBorder="1" applyAlignment="1">
      <alignment horizontal="left" vertical="top" wrapText="1"/>
    </xf>
    <xf numFmtId="0" fontId="1750" fillId="5" borderId="3" xfId="0" applyFont="1" applyFill="1" applyBorder="1" applyAlignment="1">
      <alignment horizontal="left" vertical="top" wrapText="1"/>
    </xf>
    <xf numFmtId="0" fontId="1751" fillId="5" borderId="3" xfId="0" applyFont="1" applyFill="1" applyBorder="1" applyAlignment="1">
      <alignment horizontal="left" vertical="top" wrapText="1"/>
    </xf>
    <xf numFmtId="0" fontId="1752" fillId="5" borderId="3" xfId="0" applyFont="1" applyFill="1" applyBorder="1" applyAlignment="1">
      <alignment horizontal="left" vertical="top" wrapText="1"/>
    </xf>
    <xf numFmtId="0" fontId="1753" fillId="5" borderId="3" xfId="0" applyFont="1" applyFill="1" applyBorder="1" applyAlignment="1">
      <alignment horizontal="left" vertical="top" wrapText="1"/>
    </xf>
    <xf numFmtId="0" fontId="1754" fillId="5" borderId="3" xfId="0" applyFont="1" applyFill="1" applyBorder="1" applyAlignment="1">
      <alignment horizontal="left" vertical="top" wrapText="1"/>
    </xf>
    <xf numFmtId="0" fontId="1755" fillId="5" borderId="3" xfId="0" applyFont="1" applyFill="1" applyBorder="1" applyAlignment="1">
      <alignment horizontal="left" vertical="top" wrapText="1"/>
    </xf>
    <xf numFmtId="0" fontId="1756" fillId="5" borderId="3" xfId="0" applyFont="1" applyFill="1" applyBorder="1" applyAlignment="1">
      <alignment horizontal="left" vertical="top" wrapText="1"/>
    </xf>
    <xf numFmtId="0" fontId="1757" fillId="5" borderId="3" xfId="0" applyFont="1" applyFill="1" applyBorder="1" applyAlignment="1">
      <alignment horizontal="left" vertical="top" wrapText="1"/>
    </xf>
    <xf numFmtId="0" fontId="1758" fillId="5" borderId="3" xfId="0" applyFont="1" applyFill="1" applyBorder="1" applyAlignment="1">
      <alignment horizontal="left" vertical="top" wrapText="1"/>
    </xf>
    <xf numFmtId="0" fontId="1759" fillId="5" borderId="3" xfId="0" applyFont="1" applyFill="1" applyBorder="1" applyAlignment="1">
      <alignment horizontal="center" vertical="top"/>
    </xf>
    <xf numFmtId="0" fontId="1760" fillId="5" borderId="3" xfId="0" applyFont="1" applyFill="1" applyBorder="1" applyAlignment="1">
      <alignment horizontal="center" vertical="top"/>
    </xf>
    <xf numFmtId="0" fontId="1761" fillId="5" borderId="3" xfId="0" applyFont="1" applyFill="1" applyBorder="1" applyAlignment="1">
      <alignment horizontal="center" vertical="top"/>
    </xf>
    <xf numFmtId="0" fontId="1762" fillId="5" borderId="3" xfId="0" applyFont="1" applyFill="1" applyBorder="1" applyAlignment="1">
      <alignment horizontal="center" vertical="top"/>
    </xf>
    <xf numFmtId="0" fontId="1763" fillId="5" borderId="3" xfId="0" applyFont="1" applyFill="1" applyBorder="1" applyAlignment="1">
      <alignment horizontal="center" vertical="top"/>
    </xf>
    <xf numFmtId="0" fontId="1764" fillId="5" borderId="3" xfId="0" applyFont="1" applyFill="1" applyBorder="1" applyAlignment="1">
      <alignment horizontal="center" vertical="top"/>
    </xf>
    <xf numFmtId="0" fontId="1765" fillId="5" borderId="3" xfId="0" applyFont="1" applyFill="1" applyBorder="1" applyAlignment="1">
      <alignment horizontal="center" vertical="top"/>
    </xf>
    <xf numFmtId="0" fontId="1766" fillId="5" borderId="3" xfId="0" applyFont="1" applyFill="1" applyBorder="1" applyAlignment="1">
      <alignment horizontal="left" vertical="top" wrapText="1"/>
    </xf>
    <xf numFmtId="0" fontId="1767" fillId="5" borderId="3" xfId="0" applyFont="1" applyFill="1" applyBorder="1" applyAlignment="1">
      <alignment horizontal="left" vertical="top" wrapText="1"/>
    </xf>
    <xf numFmtId="0" fontId="1768" fillId="5" borderId="3" xfId="0" applyFont="1" applyFill="1" applyBorder="1" applyAlignment="1">
      <alignment horizontal="left" vertical="top" wrapText="1"/>
    </xf>
    <xf numFmtId="0" fontId="1769" fillId="5" borderId="3" xfId="0" applyFont="1" applyFill="1" applyBorder="1" applyAlignment="1">
      <alignment horizontal="left" vertical="top" wrapText="1"/>
    </xf>
    <xf numFmtId="49" fontId="0" fillId="0" borderId="0" xfId="0" applyNumberFormat="1"/>
    <xf numFmtId="0" fontId="1770" fillId="3" borderId="3" xfId="0" applyFont="1" applyFill="1" applyBorder="1" applyAlignment="1">
      <alignment horizontal="left" vertical="top" wrapText="1"/>
    </xf>
    <xf numFmtId="0" fontId="1772" fillId="4" borderId="3" xfId="0" applyFont="1" applyFill="1" applyBorder="1" applyAlignment="1">
      <alignment horizontal="center" vertical="top" wrapText="1"/>
    </xf>
    <xf numFmtId="0" fontId="1782" fillId="5" borderId="3" xfId="0" applyFont="1" applyFill="1" applyBorder="1" applyAlignment="1">
      <alignment horizontal="left" vertical="top" wrapText="1"/>
    </xf>
    <xf numFmtId="0" fontId="1783" fillId="5" borderId="3" xfId="0" applyFont="1" applyFill="1" applyBorder="1" applyAlignment="1">
      <alignment horizontal="left" vertical="top" wrapText="1"/>
    </xf>
    <xf numFmtId="0" fontId="1784" fillId="5" borderId="3" xfId="0" applyFont="1" applyFill="1" applyBorder="1" applyAlignment="1">
      <alignment horizontal="left" vertical="top" wrapText="1"/>
    </xf>
    <xf numFmtId="0" fontId="1785" fillId="5" borderId="3" xfId="0" applyFont="1" applyFill="1" applyBorder="1" applyAlignment="1">
      <alignment horizontal="left" vertical="top" wrapText="1"/>
    </xf>
    <xf numFmtId="0" fontId="1786" fillId="5" borderId="3" xfId="0" applyFont="1" applyFill="1" applyBorder="1" applyAlignment="1">
      <alignment horizontal="left" vertical="top" wrapText="1"/>
    </xf>
    <xf numFmtId="0" fontId="1787" fillId="5" borderId="3" xfId="0" applyFont="1" applyFill="1" applyBorder="1" applyAlignment="1">
      <alignment horizontal="left" vertical="top" wrapText="1"/>
    </xf>
    <xf numFmtId="0" fontId="1788" fillId="5" borderId="3" xfId="0" applyFont="1" applyFill="1" applyBorder="1" applyAlignment="1">
      <alignment horizontal="left" vertical="top" wrapText="1"/>
    </xf>
    <xf numFmtId="0" fontId="1789" fillId="5" borderId="3" xfId="0" applyFont="1" applyFill="1" applyBorder="1" applyAlignment="1">
      <alignment horizontal="center" vertical="top"/>
    </xf>
    <xf numFmtId="0" fontId="1790" fillId="5" borderId="3" xfId="0" applyFont="1" applyFill="1" applyBorder="1" applyAlignment="1">
      <alignment horizontal="left" vertical="top" wrapText="1"/>
    </xf>
    <xf numFmtId="0" fontId="1791" fillId="5" borderId="3" xfId="0" applyFont="1" applyFill="1" applyBorder="1" applyAlignment="1">
      <alignment horizontal="left" vertical="top" wrapText="1"/>
    </xf>
    <xf numFmtId="0" fontId="1831" fillId="5" borderId="3" xfId="0" applyFont="1" applyFill="1" applyBorder="1" applyAlignment="1">
      <alignment horizontal="left" vertical="top" wrapText="1"/>
    </xf>
    <xf numFmtId="0" fontId="1832" fillId="5" borderId="3" xfId="0" applyFont="1" applyFill="1" applyBorder="1" applyAlignment="1">
      <alignment horizontal="left" vertical="top" wrapText="1"/>
    </xf>
    <xf numFmtId="0" fontId="1833" fillId="5" borderId="3" xfId="0" applyFont="1" applyFill="1" applyBorder="1" applyAlignment="1">
      <alignment horizontal="left" vertical="top" wrapText="1"/>
    </xf>
    <xf numFmtId="0" fontId="1834" fillId="5" borderId="3" xfId="0" applyFont="1" applyFill="1" applyBorder="1" applyAlignment="1">
      <alignment horizontal="center" vertical="top"/>
    </xf>
    <xf numFmtId="0" fontId="1835" fillId="5" borderId="3" xfId="0" applyFont="1" applyFill="1" applyBorder="1" applyAlignment="1">
      <alignment horizontal="center" vertical="top"/>
    </xf>
    <xf numFmtId="0" fontId="1836" fillId="5" borderId="3" xfId="0" applyFont="1" applyFill="1" applyBorder="1" applyAlignment="1">
      <alignment horizontal="center" vertical="top"/>
    </xf>
    <xf numFmtId="0" fontId="1837" fillId="5" borderId="3" xfId="0" applyFont="1" applyFill="1" applyBorder="1" applyAlignment="1">
      <alignment horizontal="center" vertical="top"/>
    </xf>
    <xf numFmtId="0" fontId="1838" fillId="5" borderId="3" xfId="0" applyFont="1" applyFill="1" applyBorder="1" applyAlignment="1">
      <alignment horizontal="left" vertical="top" wrapText="1"/>
    </xf>
    <xf numFmtId="0" fontId="1839" fillId="5" borderId="3" xfId="0" applyFont="1" applyFill="1" applyBorder="1" applyAlignment="1">
      <alignment horizontal="left" vertical="top" wrapText="1"/>
    </xf>
    <xf numFmtId="0" fontId="1840" fillId="5" borderId="3" xfId="0" applyFont="1" applyFill="1" applyBorder="1" applyAlignment="1">
      <alignment horizontal="left" vertical="top" wrapText="1"/>
    </xf>
    <xf numFmtId="0" fontId="1841" fillId="5" borderId="3" xfId="0" applyFont="1" applyFill="1" applyBorder="1" applyAlignment="1">
      <alignment horizontal="left" vertical="top" wrapText="1"/>
    </xf>
    <xf numFmtId="0" fontId="1842" fillId="5" borderId="3" xfId="0" applyFont="1" applyFill="1" applyBorder="1" applyAlignment="1">
      <alignment horizontal="left" vertical="top" wrapText="1"/>
    </xf>
    <xf numFmtId="0" fontId="1843" fillId="5" borderId="3" xfId="0" applyFont="1" applyFill="1" applyBorder="1" applyAlignment="1">
      <alignment horizontal="left" vertical="top" wrapText="1"/>
    </xf>
    <xf numFmtId="0" fontId="1844" fillId="5" borderId="3" xfId="0" applyFont="1" applyFill="1" applyBorder="1" applyAlignment="1">
      <alignment horizontal="left" vertical="top" wrapText="1"/>
    </xf>
    <xf numFmtId="0" fontId="1845" fillId="5" borderId="3" xfId="0" applyFont="1" applyFill="1" applyBorder="1" applyAlignment="1">
      <alignment horizontal="left" vertical="top" wrapText="1"/>
    </xf>
    <xf numFmtId="0" fontId="1846" fillId="5" borderId="3" xfId="0" applyFont="1" applyFill="1" applyBorder="1" applyAlignment="1">
      <alignment horizontal="left" vertical="top" wrapText="1"/>
    </xf>
    <xf numFmtId="0" fontId="1847" fillId="5" borderId="3" xfId="0" applyFont="1" applyFill="1" applyBorder="1" applyAlignment="1">
      <alignment horizontal="left" vertical="top" wrapText="1"/>
    </xf>
    <xf numFmtId="0" fontId="1848" fillId="5" borderId="3" xfId="0" applyFont="1" applyFill="1" applyBorder="1" applyAlignment="1">
      <alignment horizontal="left" vertical="top" wrapText="1"/>
    </xf>
    <xf numFmtId="0" fontId="1849" fillId="5" borderId="3" xfId="0" applyFont="1" applyFill="1" applyBorder="1" applyAlignment="1">
      <alignment horizontal="left" vertical="top" wrapText="1"/>
    </xf>
    <xf numFmtId="0" fontId="1850" fillId="5" borderId="3" xfId="0" applyFont="1" applyFill="1" applyBorder="1" applyAlignment="1">
      <alignment horizontal="left" vertical="top" wrapText="1"/>
    </xf>
    <xf numFmtId="0" fontId="1851" fillId="5" borderId="3" xfId="0" applyFont="1" applyFill="1" applyBorder="1" applyAlignment="1">
      <alignment horizontal="center" vertical="top"/>
    </xf>
    <xf numFmtId="0" fontId="1852" fillId="5" borderId="3" xfId="0" applyFont="1" applyFill="1" applyBorder="1" applyAlignment="1">
      <alignment horizontal="center" vertical="top"/>
    </xf>
    <xf numFmtId="0" fontId="1853" fillId="5" borderId="3" xfId="0" applyFont="1" applyFill="1" applyBorder="1" applyAlignment="1">
      <alignment horizontal="center" vertical="top"/>
    </xf>
    <xf numFmtId="0" fontId="1854" fillId="5" borderId="3" xfId="0" applyFont="1" applyFill="1" applyBorder="1" applyAlignment="1">
      <alignment horizontal="center" vertical="top"/>
    </xf>
    <xf numFmtId="0" fontId="1855" fillId="5" borderId="3" xfId="0" applyFont="1" applyFill="1" applyBorder="1" applyAlignment="1">
      <alignment horizontal="center" vertical="top"/>
    </xf>
    <xf numFmtId="0" fontId="1856" fillId="5" borderId="3" xfId="0" applyFont="1" applyFill="1" applyBorder="1" applyAlignment="1">
      <alignment horizontal="center" vertical="top"/>
    </xf>
    <xf numFmtId="0" fontId="1857" fillId="5" borderId="3" xfId="0" applyFont="1" applyFill="1" applyBorder="1" applyAlignment="1">
      <alignment horizontal="center" vertical="top"/>
    </xf>
    <xf numFmtId="0" fontId="1858" fillId="5" borderId="3" xfId="0" applyFont="1" applyFill="1" applyBorder="1" applyAlignment="1">
      <alignment horizontal="center" vertical="top"/>
    </xf>
    <xf numFmtId="0" fontId="1859" fillId="5" borderId="3" xfId="0" applyFont="1" applyFill="1" applyBorder="1" applyAlignment="1">
      <alignment horizontal="center" vertical="top"/>
    </xf>
    <xf numFmtId="0" fontId="1860" fillId="5" borderId="3" xfId="0" applyFont="1" applyFill="1" applyBorder="1" applyAlignment="1">
      <alignment horizontal="center" vertical="top"/>
    </xf>
    <xf numFmtId="0" fontId="1861" fillId="5" borderId="3" xfId="0" applyFont="1" applyFill="1" applyBorder="1" applyAlignment="1">
      <alignment horizontal="center" vertical="top"/>
    </xf>
    <xf numFmtId="0" fontId="1862" fillId="5" borderId="3" xfId="0" applyFont="1" applyFill="1" applyBorder="1" applyAlignment="1">
      <alignment horizontal="center" vertical="top"/>
    </xf>
    <xf numFmtId="0" fontId="1863" fillId="5" borderId="3" xfId="0" applyFont="1" applyFill="1" applyBorder="1" applyAlignment="1">
      <alignment horizontal="center" vertical="top"/>
    </xf>
    <xf numFmtId="0" fontId="1864" fillId="5" borderId="3" xfId="0" applyFont="1" applyFill="1" applyBorder="1" applyAlignment="1">
      <alignment horizontal="center" vertical="top"/>
    </xf>
    <xf numFmtId="0" fontId="1865" fillId="5" borderId="3" xfId="0" applyFont="1" applyFill="1" applyBorder="1" applyAlignment="1">
      <alignment horizontal="center" vertical="top"/>
    </xf>
    <xf numFmtId="0" fontId="1866" fillId="5" borderId="3" xfId="0" applyFont="1" applyFill="1" applyBorder="1" applyAlignment="1">
      <alignment horizontal="center" vertical="top"/>
    </xf>
    <xf numFmtId="0" fontId="1867" fillId="5" borderId="3" xfId="0" applyFont="1" applyFill="1" applyBorder="1" applyAlignment="1">
      <alignment horizontal="center" vertical="top"/>
    </xf>
    <xf numFmtId="0" fontId="1868" fillId="5" borderId="3" xfId="0" applyFont="1" applyFill="1" applyBorder="1" applyAlignment="1">
      <alignment horizontal="left" vertical="top" wrapText="1"/>
    </xf>
    <xf numFmtId="0" fontId="1869" fillId="5" borderId="3" xfId="0" applyFont="1" applyFill="1" applyBorder="1" applyAlignment="1">
      <alignment horizontal="center" vertical="top"/>
    </xf>
    <xf numFmtId="0" fontId="1870" fillId="5" borderId="3" xfId="0" applyFont="1" applyFill="1" applyBorder="1" applyAlignment="1">
      <alignment horizontal="center" vertical="top"/>
    </xf>
    <xf numFmtId="0" fontId="1871" fillId="5" borderId="3" xfId="0" applyFont="1" applyFill="1" applyBorder="1" applyAlignment="1">
      <alignment horizontal="center" vertical="top"/>
    </xf>
    <xf numFmtId="0" fontId="1873" fillId="5" borderId="3" xfId="0" applyFont="1" applyFill="1" applyBorder="1" applyAlignment="1">
      <alignment horizontal="center" vertical="top"/>
    </xf>
    <xf numFmtId="0" fontId="1874" fillId="5" borderId="3" xfId="0" applyFont="1" applyFill="1" applyBorder="1" applyAlignment="1">
      <alignment horizontal="center" vertical="top"/>
    </xf>
    <xf numFmtId="0" fontId="1875" fillId="5" borderId="3" xfId="0" applyFont="1" applyFill="1" applyBorder="1" applyAlignment="1">
      <alignment horizontal="left" vertical="top" wrapText="1"/>
    </xf>
    <xf numFmtId="0" fontId="1876" fillId="5" borderId="3" xfId="0" applyFont="1" applyFill="1" applyBorder="1" applyAlignment="1">
      <alignment horizontal="center" vertical="top"/>
    </xf>
    <xf numFmtId="0" fontId="1877" fillId="5" borderId="3" xfId="0" applyFont="1" applyFill="1" applyBorder="1" applyAlignment="1">
      <alignment horizontal="center" vertical="top"/>
    </xf>
    <xf numFmtId="0" fontId="1878" fillId="5" borderId="3" xfId="0" applyFont="1" applyFill="1" applyBorder="1" applyAlignment="1">
      <alignment horizontal="left" vertical="top" wrapText="1"/>
    </xf>
    <xf numFmtId="0" fontId="1879" fillId="5" borderId="3" xfId="0" applyFont="1" applyFill="1" applyBorder="1" applyAlignment="1">
      <alignment horizontal="center" vertical="top"/>
    </xf>
    <xf numFmtId="0" fontId="1880" fillId="5" borderId="3" xfId="0" applyFont="1" applyFill="1" applyBorder="1" applyAlignment="1">
      <alignment horizontal="center" vertical="top"/>
    </xf>
    <xf numFmtId="0" fontId="1881" fillId="5" borderId="3" xfId="0" applyFont="1" applyFill="1" applyBorder="1" applyAlignment="1">
      <alignment horizontal="left" vertical="top" wrapText="1"/>
    </xf>
    <xf numFmtId="0" fontId="1883" fillId="5" borderId="3" xfId="0" applyFont="1" applyFill="1" applyBorder="1" applyAlignment="1">
      <alignment horizontal="left" vertical="top" wrapText="1"/>
    </xf>
    <xf numFmtId="0" fontId="1884" fillId="5" borderId="3" xfId="0" applyFont="1" applyFill="1" applyBorder="1" applyAlignment="1">
      <alignment horizontal="left" vertical="top" wrapText="1"/>
    </xf>
    <xf numFmtId="0" fontId="1885" fillId="5" borderId="3" xfId="0" applyFont="1" applyFill="1" applyBorder="1" applyAlignment="1">
      <alignment horizontal="center" vertical="top"/>
    </xf>
    <xf numFmtId="0" fontId="1886" fillId="5" borderId="3" xfId="0" applyFont="1" applyFill="1" applyBorder="1" applyAlignment="1">
      <alignment horizontal="center" vertical="top"/>
    </xf>
    <xf numFmtId="0" fontId="1887" fillId="5" borderId="3" xfId="0" applyFont="1" applyFill="1" applyBorder="1" applyAlignment="1">
      <alignment horizontal="left" vertical="top" wrapText="1"/>
    </xf>
    <xf numFmtId="0" fontId="1888" fillId="5" borderId="3" xfId="0" applyFont="1" applyFill="1" applyBorder="1" applyAlignment="1">
      <alignment horizontal="left" vertical="top" wrapText="1"/>
    </xf>
    <xf numFmtId="0" fontId="1889" fillId="5" borderId="3" xfId="0" applyFont="1" applyFill="1" applyBorder="1" applyAlignment="1">
      <alignment horizontal="left" vertical="top" wrapText="1"/>
    </xf>
    <xf numFmtId="0" fontId="1890" fillId="5" borderId="3" xfId="0" applyFont="1" applyFill="1" applyBorder="1" applyAlignment="1">
      <alignment horizontal="left" vertical="top" wrapText="1"/>
    </xf>
    <xf numFmtId="0" fontId="1891" fillId="5" borderId="3" xfId="0" applyFont="1" applyFill="1" applyBorder="1" applyAlignment="1">
      <alignment horizontal="left" vertical="top" wrapText="1"/>
    </xf>
    <xf numFmtId="0" fontId="1906" fillId="5" borderId="3" xfId="0" applyFont="1" applyFill="1" applyBorder="1" applyAlignment="1">
      <alignment horizontal="left" vertical="top" wrapText="1"/>
    </xf>
    <xf numFmtId="0" fontId="1907" fillId="5" borderId="3" xfId="0" applyFont="1" applyFill="1" applyBorder="1" applyAlignment="1">
      <alignment horizontal="left" vertical="top" wrapText="1"/>
    </xf>
    <xf numFmtId="0" fontId="1908" fillId="5" borderId="3" xfId="0" applyFont="1" applyFill="1" applyBorder="1" applyAlignment="1">
      <alignment horizontal="left" vertical="top" wrapText="1"/>
    </xf>
    <xf numFmtId="0" fontId="1909" fillId="5" borderId="3" xfId="0" applyFont="1" applyFill="1" applyBorder="1" applyAlignment="1">
      <alignment horizontal="left" vertical="top" wrapText="1"/>
    </xf>
    <xf numFmtId="0" fontId="1910" fillId="5" borderId="3" xfId="0" applyFont="1" applyFill="1" applyBorder="1" applyAlignment="1">
      <alignment horizontal="left" vertical="top" wrapText="1"/>
    </xf>
    <xf numFmtId="0" fontId="1911" fillId="5" borderId="3" xfId="0" applyFont="1" applyFill="1" applyBorder="1" applyAlignment="1">
      <alignment horizontal="center" vertical="top"/>
    </xf>
    <xf numFmtId="0" fontId="1912" fillId="5" borderId="3" xfId="0" applyFont="1" applyFill="1" applyBorder="1" applyAlignment="1">
      <alignment horizontal="center" vertical="top"/>
    </xf>
    <xf numFmtId="0" fontId="1913" fillId="5" borderId="3" xfId="0" applyFont="1" applyFill="1" applyBorder="1" applyAlignment="1">
      <alignment horizontal="center" vertical="top"/>
    </xf>
    <xf numFmtId="0" fontId="1914" fillId="5" borderId="3" xfId="0" applyFont="1" applyFill="1" applyBorder="1" applyAlignment="1">
      <alignment horizontal="center" vertical="top"/>
    </xf>
    <xf numFmtId="0" fontId="1915" fillId="5" borderId="3" xfId="0" applyFont="1" applyFill="1" applyBorder="1" applyAlignment="1">
      <alignment horizontal="left" vertical="top" wrapText="1"/>
    </xf>
    <xf numFmtId="0" fontId="1916" fillId="5" borderId="3" xfId="0" applyFont="1" applyFill="1" applyBorder="1" applyAlignment="1">
      <alignment horizontal="left" vertical="top" wrapText="1"/>
    </xf>
    <xf numFmtId="0" fontId="1917" fillId="5" borderId="3" xfId="0" applyFont="1" applyFill="1" applyBorder="1" applyAlignment="1">
      <alignment horizontal="left" vertical="top" wrapText="1"/>
    </xf>
    <xf numFmtId="0" fontId="1918" fillId="5" borderId="3" xfId="0" applyFont="1" applyFill="1" applyBorder="1" applyAlignment="1">
      <alignment horizontal="left" vertical="top" wrapText="1"/>
    </xf>
    <xf numFmtId="0" fontId="1919" fillId="5" borderId="3" xfId="0" applyFont="1" applyFill="1" applyBorder="1" applyAlignment="1">
      <alignment horizontal="left" vertical="top" wrapText="1"/>
    </xf>
    <xf numFmtId="0" fontId="1920" fillId="5" borderId="3" xfId="0" applyFont="1" applyFill="1" applyBorder="1" applyAlignment="1">
      <alignment horizontal="left" vertical="top" wrapText="1"/>
    </xf>
    <xf numFmtId="0" fontId="1921" fillId="5" borderId="3" xfId="0" applyFont="1" applyFill="1" applyBorder="1" applyAlignment="1">
      <alignment horizontal="left" vertical="top" wrapText="1"/>
    </xf>
    <xf numFmtId="0" fontId="1922" fillId="5" borderId="3" xfId="0" applyFont="1" applyFill="1" applyBorder="1" applyAlignment="1">
      <alignment horizontal="left" vertical="top" wrapText="1"/>
    </xf>
    <xf numFmtId="0" fontId="1923" fillId="5" borderId="3" xfId="0" applyFont="1" applyFill="1" applyBorder="1" applyAlignment="1">
      <alignment horizontal="left" vertical="top" wrapText="1"/>
    </xf>
    <xf numFmtId="0" fontId="1924" fillId="5" borderId="3" xfId="0" applyFont="1" applyFill="1" applyBorder="1" applyAlignment="1">
      <alignment horizontal="left" vertical="top" wrapText="1"/>
    </xf>
    <xf numFmtId="0" fontId="1925" fillId="5" borderId="3" xfId="0" applyFont="1" applyFill="1" applyBorder="1" applyAlignment="1">
      <alignment horizontal="left" vertical="top" wrapText="1"/>
    </xf>
    <xf numFmtId="0" fontId="1926" fillId="5" borderId="3" xfId="0" applyFont="1" applyFill="1" applyBorder="1" applyAlignment="1">
      <alignment horizontal="left" vertical="top" wrapText="1"/>
    </xf>
    <xf numFmtId="0" fontId="1927" fillId="5" borderId="3" xfId="0" applyFont="1" applyFill="1" applyBorder="1" applyAlignment="1">
      <alignment horizontal="left" vertical="top" wrapText="1"/>
    </xf>
    <xf numFmtId="0" fontId="1940" fillId="5" borderId="3" xfId="0" applyFont="1" applyFill="1" applyBorder="1" applyAlignment="1">
      <alignment horizontal="center" vertical="top"/>
    </xf>
    <xf numFmtId="0" fontId="1941" fillId="5" borderId="3" xfId="0" applyFont="1" applyFill="1" applyBorder="1" applyAlignment="1">
      <alignment horizontal="center" vertical="top"/>
    </xf>
    <xf numFmtId="0" fontId="1942" fillId="5" borderId="3" xfId="0" applyFont="1" applyFill="1" applyBorder="1" applyAlignment="1">
      <alignment horizontal="left" vertical="top" wrapText="1"/>
    </xf>
    <xf numFmtId="0" fontId="1943" fillId="5" borderId="3" xfId="0" applyFont="1" applyFill="1" applyBorder="1" applyAlignment="1">
      <alignment horizontal="left" vertical="top" wrapText="1"/>
    </xf>
    <xf numFmtId="0" fontId="1944" fillId="5" borderId="3" xfId="0" applyFont="1" applyFill="1" applyBorder="1" applyAlignment="1">
      <alignment horizontal="left" vertical="top" wrapText="1"/>
    </xf>
    <xf numFmtId="0" fontId="1945" fillId="5" borderId="3" xfId="0" applyFont="1" applyFill="1" applyBorder="1" applyAlignment="1">
      <alignment horizontal="left" vertical="top" wrapText="1"/>
    </xf>
    <xf numFmtId="0" fontId="1946" fillId="5" borderId="3" xfId="0" applyFont="1" applyFill="1" applyBorder="1" applyAlignment="1">
      <alignment horizontal="left" vertical="top" wrapText="1"/>
    </xf>
    <xf numFmtId="0" fontId="1947" fillId="5" borderId="3" xfId="0" applyFont="1" applyFill="1" applyBorder="1" applyAlignment="1">
      <alignment horizontal="left" vertical="top" wrapText="1"/>
    </xf>
    <xf numFmtId="0" fontId="1948" fillId="5" borderId="3" xfId="0" applyFont="1" applyFill="1" applyBorder="1" applyAlignment="1">
      <alignment horizontal="left" vertical="top" wrapText="1"/>
    </xf>
    <xf numFmtId="0" fontId="1949" fillId="5" borderId="3" xfId="0" applyFont="1" applyFill="1" applyBorder="1" applyAlignment="1">
      <alignment horizontal="left" vertical="top" wrapText="1"/>
    </xf>
    <xf numFmtId="0" fontId="1950" fillId="5" borderId="3" xfId="0" applyFont="1" applyFill="1" applyBorder="1" applyAlignment="1">
      <alignment horizontal="left" vertical="top" wrapText="1"/>
    </xf>
    <xf numFmtId="0" fontId="1951" fillId="5" borderId="3" xfId="0" applyFont="1" applyFill="1" applyBorder="1" applyAlignment="1">
      <alignment horizontal="left" vertical="top" wrapText="1"/>
    </xf>
    <xf numFmtId="0" fontId="1952" fillId="5" borderId="3" xfId="0" applyFont="1" applyFill="1" applyBorder="1" applyAlignment="1">
      <alignment horizontal="left" vertical="top" wrapText="1"/>
    </xf>
    <xf numFmtId="0" fontId="1953" fillId="5" borderId="3" xfId="0" applyFont="1" applyFill="1" applyBorder="1" applyAlignment="1">
      <alignment horizontal="left" vertical="top" wrapText="1"/>
    </xf>
    <xf numFmtId="0" fontId="1954" fillId="5" borderId="3" xfId="0" applyFont="1" applyFill="1" applyBorder="1" applyAlignment="1">
      <alignment horizontal="left" vertical="top" wrapText="1"/>
    </xf>
    <xf numFmtId="0" fontId="1955" fillId="5" borderId="3" xfId="0" applyFont="1" applyFill="1" applyBorder="1" applyAlignment="1">
      <alignment horizontal="left" vertical="top" wrapText="1"/>
    </xf>
    <xf numFmtId="0" fontId="1956" fillId="5" borderId="3" xfId="0" applyFont="1" applyFill="1" applyBorder="1" applyAlignment="1">
      <alignment horizontal="left" vertical="top" wrapText="1"/>
    </xf>
    <xf numFmtId="0" fontId="1957" fillId="5" borderId="3" xfId="0" applyFont="1" applyFill="1" applyBorder="1" applyAlignment="1">
      <alignment horizontal="left" vertical="top" wrapText="1"/>
    </xf>
    <xf numFmtId="0" fontId="1958" fillId="5" borderId="3" xfId="0" applyFont="1" applyFill="1" applyBorder="1" applyAlignment="1">
      <alignment horizontal="left" vertical="top" wrapText="1"/>
    </xf>
    <xf numFmtId="0" fontId="1959" fillId="5" borderId="3" xfId="0" applyFont="1" applyFill="1" applyBorder="1" applyAlignment="1">
      <alignment horizontal="left" vertical="top" wrapText="1"/>
    </xf>
    <xf numFmtId="0" fontId="1960" fillId="5" borderId="3" xfId="0" applyFont="1" applyFill="1" applyBorder="1" applyAlignment="1">
      <alignment horizontal="left" vertical="top" wrapText="1"/>
    </xf>
    <xf numFmtId="0" fontId="1961" fillId="5" borderId="3" xfId="0" applyFont="1" applyFill="1" applyBorder="1" applyAlignment="1">
      <alignment horizontal="left" vertical="top" wrapText="1"/>
    </xf>
    <xf numFmtId="49" fontId="0" fillId="0" borderId="0" xfId="0" applyNumberFormat="1"/>
    <xf numFmtId="0" fontId="1964" fillId="4" borderId="3" xfId="0" applyFont="1" applyFill="1" applyBorder="1" applyAlignment="1">
      <alignment horizontal="center" vertical="top" wrapText="1"/>
    </xf>
    <xf numFmtId="0" fontId="1967" fillId="5" borderId="3" xfId="0" applyFont="1" applyFill="1" applyBorder="1" applyAlignment="1">
      <alignment horizontal="left" vertical="top" wrapText="1"/>
    </xf>
    <xf numFmtId="0" fontId="1968" fillId="5" borderId="3" xfId="0" applyFont="1" applyFill="1" applyBorder="1" applyAlignment="1">
      <alignment horizontal="left" vertical="top" wrapText="1"/>
    </xf>
    <xf numFmtId="0" fontId="1969" fillId="5" borderId="3" xfId="0" applyFont="1" applyFill="1" applyBorder="1" applyAlignment="1">
      <alignment horizontal="left" vertical="top" wrapText="1"/>
    </xf>
    <xf numFmtId="0" fontId="1970" fillId="5" borderId="3" xfId="0" applyFont="1" applyFill="1" applyBorder="1" applyAlignment="1">
      <alignment horizontal="left" vertical="top" wrapText="1"/>
    </xf>
    <xf numFmtId="0" fontId="1971" fillId="5" borderId="3" xfId="0" applyFont="1" applyFill="1" applyBorder="1" applyAlignment="1">
      <alignment horizontal="left" vertical="top" wrapText="1"/>
    </xf>
    <xf numFmtId="0" fontId="1972" fillId="5" borderId="3" xfId="0" applyFont="1" applyFill="1" applyBorder="1" applyAlignment="1">
      <alignment horizontal="left" vertical="top" wrapText="1"/>
    </xf>
    <xf numFmtId="0" fontId="1973" fillId="5" borderId="3" xfId="0" applyFont="1" applyFill="1" applyBorder="1" applyAlignment="1">
      <alignment horizontal="left" vertical="top" wrapText="1"/>
    </xf>
    <xf numFmtId="0" fontId="1974" fillId="5" borderId="3" xfId="0" applyFont="1" applyFill="1" applyBorder="1" applyAlignment="1">
      <alignment horizontal="left" vertical="top" wrapText="1"/>
    </xf>
    <xf numFmtId="0" fontId="1975" fillId="5" borderId="3" xfId="0" applyFont="1" applyFill="1" applyBorder="1" applyAlignment="1">
      <alignment horizontal="left" vertical="top" wrapText="1"/>
    </xf>
    <xf numFmtId="0" fontId="1976" fillId="5" borderId="3" xfId="0" applyFont="1" applyFill="1" applyBorder="1" applyAlignment="1">
      <alignment horizontal="left" vertical="top" wrapText="1"/>
    </xf>
    <xf numFmtId="0" fontId="1977" fillId="5" borderId="3" xfId="0" applyFont="1" applyFill="1" applyBorder="1" applyAlignment="1">
      <alignment horizontal="left" vertical="top" wrapText="1"/>
    </xf>
    <xf numFmtId="0" fontId="1978" fillId="5" borderId="3" xfId="0" applyFont="1" applyFill="1" applyBorder="1" applyAlignment="1">
      <alignment horizontal="left" vertical="top" wrapText="1"/>
    </xf>
    <xf numFmtId="0" fontId="1979" fillId="5" borderId="3" xfId="0" applyFont="1" applyFill="1" applyBorder="1" applyAlignment="1">
      <alignment horizontal="left" vertical="top" wrapText="1"/>
    </xf>
    <xf numFmtId="0" fontId="1980" fillId="5" borderId="3" xfId="0" applyFont="1" applyFill="1" applyBorder="1" applyAlignment="1">
      <alignment horizontal="left" vertical="top" wrapText="1"/>
    </xf>
    <xf numFmtId="0" fontId="1985" fillId="5" borderId="3" xfId="0" applyFont="1" applyFill="1" applyBorder="1" applyAlignment="1">
      <alignment horizontal="left" vertical="top" wrapText="1"/>
    </xf>
    <xf numFmtId="0" fontId="2011" fillId="5" borderId="3" xfId="0" applyFont="1" applyFill="1" applyBorder="1" applyAlignment="1">
      <alignment horizontal="left" vertical="top" wrapText="1"/>
    </xf>
    <xf numFmtId="0" fontId="2012" fillId="5" borderId="3" xfId="0" applyFont="1" applyFill="1" applyBorder="1" applyAlignment="1">
      <alignment horizontal="left" vertical="top" wrapText="1"/>
    </xf>
    <xf numFmtId="0" fontId="2013" fillId="5" borderId="3" xfId="0" applyFont="1" applyFill="1" applyBorder="1" applyAlignment="1">
      <alignment horizontal="left" vertical="top" wrapText="1"/>
    </xf>
    <xf numFmtId="0" fontId="2014" fillId="5" borderId="3" xfId="0" applyFont="1" applyFill="1" applyBorder="1" applyAlignment="1">
      <alignment horizontal="left" vertical="top" wrapText="1"/>
    </xf>
    <xf numFmtId="0" fontId="2015" fillId="5" borderId="3" xfId="0" applyFont="1" applyFill="1" applyBorder="1" applyAlignment="1">
      <alignment horizontal="left" vertical="top" wrapText="1"/>
    </xf>
    <xf numFmtId="0" fontId="2016" fillId="5" borderId="3" xfId="0" applyFont="1" applyFill="1" applyBorder="1" applyAlignment="1">
      <alignment horizontal="left" vertical="top" wrapText="1"/>
    </xf>
    <xf numFmtId="0" fontId="2017" fillId="5" borderId="3" xfId="0" applyFont="1" applyFill="1" applyBorder="1" applyAlignment="1">
      <alignment horizontal="left" vertical="top" wrapText="1"/>
    </xf>
    <xf numFmtId="0" fontId="2024" fillId="5" borderId="3" xfId="0" applyFont="1" applyFill="1" applyBorder="1" applyAlignment="1">
      <alignment horizontal="left" vertical="top" wrapText="1"/>
    </xf>
    <xf numFmtId="0" fontId="2027" fillId="5" borderId="3" xfId="0" applyFont="1" applyFill="1" applyBorder="1" applyAlignment="1">
      <alignment horizontal="left" vertical="top" wrapText="1"/>
    </xf>
    <xf numFmtId="0" fontId="2028" fillId="5" borderId="3" xfId="0" applyFont="1" applyFill="1" applyBorder="1" applyAlignment="1">
      <alignment horizontal="left" vertical="top" wrapText="1"/>
    </xf>
    <xf numFmtId="0" fontId="2029" fillId="5" borderId="3" xfId="0" applyFont="1" applyFill="1" applyBorder="1" applyAlignment="1">
      <alignment horizontal="left" vertical="top" wrapText="1"/>
    </xf>
    <xf numFmtId="0" fontId="2030" fillId="5" borderId="3" xfId="0" applyFont="1" applyFill="1" applyBorder="1" applyAlignment="1">
      <alignment horizontal="center" vertical="top"/>
    </xf>
    <xf numFmtId="0" fontId="2031" fillId="5" borderId="3" xfId="0" applyFont="1" applyFill="1" applyBorder="1" applyAlignment="1">
      <alignment horizontal="left" vertical="top" wrapText="1"/>
    </xf>
    <xf numFmtId="0" fontId="2032" fillId="5" borderId="3" xfId="0" applyFont="1" applyFill="1" applyBorder="1" applyAlignment="1">
      <alignment horizontal="left" vertical="top" wrapText="1"/>
    </xf>
    <xf numFmtId="0" fontId="2033" fillId="5" borderId="3" xfId="0" applyFont="1" applyFill="1" applyBorder="1" applyAlignment="1">
      <alignment horizontal="left" vertical="top" wrapText="1"/>
    </xf>
    <xf numFmtId="0" fontId="2034" fillId="5" borderId="3" xfId="0" applyFont="1" applyFill="1" applyBorder="1" applyAlignment="1">
      <alignment horizontal="left" vertical="top" wrapText="1"/>
    </xf>
    <xf numFmtId="0" fontId="2035" fillId="5" borderId="3" xfId="0" applyFont="1" applyFill="1" applyBorder="1" applyAlignment="1">
      <alignment horizontal="left" vertical="top" wrapText="1"/>
    </xf>
    <xf numFmtId="0" fontId="2036" fillId="5" borderId="3" xfId="0" applyFont="1" applyFill="1" applyBorder="1" applyAlignment="1">
      <alignment horizontal="left" vertical="top" wrapText="1"/>
    </xf>
    <xf numFmtId="0" fontId="2037" fillId="5" borderId="3" xfId="0" applyFont="1" applyFill="1" applyBorder="1" applyAlignment="1">
      <alignment horizontal="left" vertical="top" wrapText="1"/>
    </xf>
    <xf numFmtId="0" fontId="2038" fillId="5" borderId="3" xfId="0" applyFont="1" applyFill="1" applyBorder="1" applyAlignment="1">
      <alignment horizontal="left" vertical="top" wrapText="1"/>
    </xf>
    <xf numFmtId="0" fontId="2039" fillId="5" borderId="3" xfId="0" applyFont="1" applyFill="1" applyBorder="1" applyAlignment="1">
      <alignment horizontal="left" vertical="top" wrapText="1"/>
    </xf>
    <xf numFmtId="0" fontId="2040" fillId="5" borderId="3" xfId="0" applyFont="1" applyFill="1" applyBorder="1" applyAlignment="1">
      <alignment horizontal="left" vertical="top" wrapText="1"/>
    </xf>
    <xf numFmtId="0" fontId="2041" fillId="5" borderId="3" xfId="0" applyFont="1" applyFill="1" applyBorder="1" applyAlignment="1">
      <alignment horizontal="left" vertical="top" wrapText="1"/>
    </xf>
    <xf numFmtId="0" fontId="2042" fillId="5" borderId="3" xfId="0" applyFont="1" applyFill="1" applyBorder="1" applyAlignment="1">
      <alignment horizontal="left" vertical="top" wrapText="1"/>
    </xf>
    <xf numFmtId="0" fontId="2043" fillId="5" borderId="3" xfId="0" applyFont="1" applyFill="1" applyBorder="1" applyAlignment="1">
      <alignment horizontal="left" vertical="top" wrapText="1"/>
    </xf>
    <xf numFmtId="0" fontId="2044" fillId="5" borderId="3" xfId="0" applyFont="1" applyFill="1" applyBorder="1" applyAlignment="1">
      <alignment horizontal="left" vertical="top" wrapText="1"/>
    </xf>
    <xf numFmtId="0" fontId="2060" fillId="5" borderId="3" xfId="0" applyFont="1" applyFill="1" applyBorder="1" applyAlignment="1">
      <alignment horizontal="left" vertical="top" wrapText="1"/>
    </xf>
    <xf numFmtId="0" fontId="2065" fillId="5" borderId="3" xfId="0" applyFont="1" applyFill="1" applyBorder="1" applyAlignment="1">
      <alignment horizontal="left" vertical="top" wrapText="1"/>
    </xf>
    <xf numFmtId="0" fontId="2066" fillId="5" borderId="3" xfId="0" applyFont="1" applyFill="1" applyBorder="1" applyAlignment="1">
      <alignment horizontal="left" vertical="top" wrapText="1"/>
    </xf>
    <xf numFmtId="0" fontId="2067" fillId="5" borderId="3" xfId="0" applyFont="1" applyFill="1" applyBorder="1" applyAlignment="1">
      <alignment horizontal="left" vertical="top" wrapText="1"/>
    </xf>
    <xf numFmtId="0" fontId="2068" fillId="5" borderId="3" xfId="0" applyFont="1" applyFill="1" applyBorder="1" applyAlignment="1">
      <alignment horizontal="left" vertical="top" wrapText="1"/>
    </xf>
    <xf numFmtId="0" fontId="2069" fillId="5" borderId="3" xfId="0" applyFont="1" applyFill="1" applyBorder="1" applyAlignment="1">
      <alignment horizontal="left" vertical="top" wrapText="1"/>
    </xf>
    <xf numFmtId="0" fontId="2070" fillId="5" borderId="3" xfId="0" applyFont="1" applyFill="1" applyBorder="1" applyAlignment="1">
      <alignment horizontal="left" vertical="top" wrapText="1"/>
    </xf>
    <xf numFmtId="0" fontId="2071" fillId="5" borderId="3" xfId="0" applyFont="1" applyFill="1" applyBorder="1" applyAlignment="1">
      <alignment horizontal="left" vertical="top" wrapText="1"/>
    </xf>
    <xf numFmtId="0" fontId="2075" fillId="5" borderId="3" xfId="0" applyFont="1" applyFill="1" applyBorder="1" applyAlignment="1">
      <alignment horizontal="left" vertical="top" wrapText="1"/>
    </xf>
    <xf numFmtId="0" fontId="2076" fillId="5" borderId="3" xfId="0" applyFont="1" applyFill="1" applyBorder="1" applyAlignment="1">
      <alignment horizontal="left" vertical="top" wrapText="1"/>
    </xf>
    <xf numFmtId="0" fontId="2084" fillId="5" borderId="3" xfId="0" applyFont="1" applyFill="1" applyBorder="1" applyAlignment="1">
      <alignment horizontal="left" vertical="top" wrapText="1"/>
    </xf>
    <xf numFmtId="0" fontId="2085" fillId="5" borderId="3" xfId="0" applyFont="1" applyFill="1" applyBorder="1" applyAlignment="1">
      <alignment horizontal="left" vertical="top" wrapText="1"/>
    </xf>
    <xf numFmtId="0" fontId="2086" fillId="5" borderId="3" xfId="0" applyFont="1" applyFill="1" applyBorder="1" applyAlignment="1">
      <alignment horizontal="left" vertical="top" wrapText="1"/>
    </xf>
    <xf numFmtId="0" fontId="2087" fillId="5" borderId="3" xfId="0" applyFont="1" applyFill="1" applyBorder="1" applyAlignment="1">
      <alignment horizontal="left" vertical="top" wrapText="1"/>
    </xf>
    <xf numFmtId="0" fontId="2088" fillId="5" borderId="3" xfId="0" applyFont="1" applyFill="1" applyBorder="1" applyAlignment="1">
      <alignment horizontal="left" vertical="top" wrapText="1"/>
    </xf>
    <xf numFmtId="0" fontId="2093" fillId="5" borderId="3" xfId="0" applyFont="1" applyFill="1" applyBorder="1" applyAlignment="1">
      <alignment horizontal="left" vertical="top" wrapText="1"/>
    </xf>
    <xf numFmtId="0" fontId="2094" fillId="5" borderId="3" xfId="0" applyFont="1" applyFill="1" applyBorder="1" applyAlignment="1">
      <alignment horizontal="left" vertical="top" wrapText="1"/>
    </xf>
    <xf numFmtId="0" fontId="2096" fillId="5" borderId="3" xfId="0" applyFont="1" applyFill="1" applyBorder="1" applyAlignment="1">
      <alignment horizontal="left" vertical="top" wrapText="1"/>
    </xf>
    <xf numFmtId="0" fontId="2097" fillId="5" borderId="3" xfId="0" applyFont="1" applyFill="1" applyBorder="1" applyAlignment="1">
      <alignment horizontal="left" vertical="top" wrapText="1"/>
    </xf>
    <xf numFmtId="0" fontId="2098" fillId="5" borderId="3" xfId="0" applyFont="1" applyFill="1" applyBorder="1" applyAlignment="1">
      <alignment horizontal="left" vertical="top" wrapText="1"/>
    </xf>
    <xf numFmtId="0" fontId="2099" fillId="5" borderId="3" xfId="0" applyFont="1" applyFill="1" applyBorder="1" applyAlignment="1">
      <alignment horizontal="left" vertical="top" wrapText="1"/>
    </xf>
    <xf numFmtId="0" fontId="2106" fillId="5" borderId="3" xfId="0" applyFont="1" applyFill="1" applyBorder="1" applyAlignment="1">
      <alignment horizontal="left" vertical="top" wrapText="1"/>
    </xf>
    <xf numFmtId="0" fontId="2107" fillId="5" borderId="3" xfId="0" applyFont="1" applyFill="1" applyBorder="1" applyAlignment="1">
      <alignment horizontal="left" vertical="top" wrapText="1"/>
    </xf>
    <xf numFmtId="0" fontId="2108" fillId="5" borderId="3" xfId="0" applyFont="1" applyFill="1" applyBorder="1" applyAlignment="1">
      <alignment horizontal="left" vertical="top" wrapText="1"/>
    </xf>
    <xf numFmtId="0" fontId="2109" fillId="5" borderId="3" xfId="0" applyFont="1" applyFill="1" applyBorder="1" applyAlignment="1">
      <alignment horizontal="left" vertical="top" wrapText="1"/>
    </xf>
    <xf numFmtId="0" fontId="2110" fillId="5" borderId="3" xfId="0" applyFont="1" applyFill="1" applyBorder="1" applyAlignment="1">
      <alignment horizontal="left" vertical="top" wrapText="1"/>
    </xf>
    <xf numFmtId="0" fontId="2111" fillId="5" borderId="3" xfId="0" applyFont="1" applyFill="1" applyBorder="1" applyAlignment="1">
      <alignment horizontal="left" vertical="top" wrapText="1"/>
    </xf>
    <xf numFmtId="0" fontId="2112" fillId="5" borderId="3" xfId="0" applyFont="1" applyFill="1" applyBorder="1" applyAlignment="1">
      <alignment horizontal="left" vertical="top" wrapText="1"/>
    </xf>
    <xf numFmtId="0" fontId="2113" fillId="5" borderId="3" xfId="0" applyFont="1" applyFill="1" applyBorder="1" applyAlignment="1">
      <alignment horizontal="left" vertical="top" wrapText="1"/>
    </xf>
    <xf numFmtId="0" fontId="2114" fillId="5" borderId="3" xfId="0" applyFont="1" applyFill="1" applyBorder="1" applyAlignment="1">
      <alignment horizontal="left" vertical="top" wrapText="1"/>
    </xf>
    <xf numFmtId="0" fontId="2117" fillId="5" borderId="3" xfId="0" applyFont="1" applyFill="1" applyBorder="1" applyAlignment="1">
      <alignment horizontal="left" vertical="top" wrapText="1"/>
    </xf>
    <xf numFmtId="0" fontId="2118" fillId="5" borderId="3" xfId="0" applyFont="1" applyFill="1" applyBorder="1" applyAlignment="1">
      <alignment horizontal="left" vertical="top" wrapText="1"/>
    </xf>
    <xf numFmtId="0" fontId="2119" fillId="5" borderId="3" xfId="0" applyFont="1" applyFill="1" applyBorder="1" applyAlignment="1">
      <alignment horizontal="left" vertical="top" wrapText="1"/>
    </xf>
    <xf numFmtId="0" fontId="2120" fillId="5" borderId="3" xfId="0" applyFont="1" applyFill="1" applyBorder="1" applyAlignment="1">
      <alignment horizontal="left" vertical="top" wrapText="1"/>
    </xf>
    <xf numFmtId="0" fontId="2129" fillId="5" borderId="3" xfId="0" applyFont="1" applyFill="1" applyBorder="1" applyAlignment="1">
      <alignment horizontal="left" vertical="top" wrapText="1"/>
    </xf>
    <xf numFmtId="0" fontId="2130" fillId="5" borderId="3" xfId="0" applyFont="1" applyFill="1" applyBorder="1" applyAlignment="1">
      <alignment horizontal="left" vertical="top" wrapText="1"/>
    </xf>
    <xf numFmtId="0" fontId="2131" fillId="5" borderId="3" xfId="0" applyFont="1" applyFill="1" applyBorder="1" applyAlignment="1">
      <alignment horizontal="left" vertical="top" wrapText="1"/>
    </xf>
    <xf numFmtId="0" fontId="2148" fillId="5" borderId="3" xfId="0" applyFont="1" applyFill="1" applyBorder="1" applyAlignment="1">
      <alignment horizontal="left" vertical="top" wrapText="1"/>
    </xf>
    <xf numFmtId="0" fontId="2149" fillId="5" borderId="3" xfId="0" applyFont="1" applyFill="1" applyBorder="1" applyAlignment="1">
      <alignment horizontal="left" vertical="top" wrapText="1"/>
    </xf>
    <xf numFmtId="0" fontId="2150" fillId="5" borderId="3" xfId="0" applyFont="1" applyFill="1" applyBorder="1" applyAlignment="1">
      <alignment horizontal="left" vertical="top" wrapText="1"/>
    </xf>
    <xf numFmtId="0" fontId="2151" fillId="5" borderId="3" xfId="0" applyFont="1" applyFill="1" applyBorder="1" applyAlignment="1">
      <alignment horizontal="left" vertical="top" wrapText="1"/>
    </xf>
    <xf numFmtId="0" fontId="2152" fillId="5" borderId="3" xfId="0" applyFont="1" applyFill="1" applyBorder="1" applyAlignment="1">
      <alignment horizontal="left" vertical="top" wrapText="1"/>
    </xf>
    <xf numFmtId="0" fontId="2153" fillId="5" borderId="3" xfId="0" applyFont="1" applyFill="1" applyBorder="1" applyAlignment="1">
      <alignment horizontal="left" vertical="top" wrapText="1"/>
    </xf>
    <xf numFmtId="0" fontId="2154" fillId="5" borderId="3" xfId="0" applyFont="1" applyFill="1" applyBorder="1" applyAlignment="1">
      <alignment horizontal="left" vertical="top" wrapText="1"/>
    </xf>
    <xf numFmtId="0" fontId="2155" fillId="5" borderId="3" xfId="0" applyFont="1" applyFill="1" applyBorder="1" applyAlignment="1">
      <alignment horizontal="left" vertical="top" wrapText="1"/>
    </xf>
    <xf numFmtId="0" fontId="2156" fillId="5" borderId="3" xfId="0" applyFont="1" applyFill="1" applyBorder="1" applyAlignment="1">
      <alignment horizontal="left" vertical="top" wrapText="1"/>
    </xf>
    <xf numFmtId="0" fontId="2157" fillId="5" borderId="3" xfId="0" applyFont="1" applyFill="1" applyBorder="1" applyAlignment="1">
      <alignment horizontal="left" vertical="top" wrapText="1"/>
    </xf>
    <xf numFmtId="0" fontId="2158" fillId="5" borderId="3" xfId="0" applyFont="1" applyFill="1" applyBorder="1" applyAlignment="1">
      <alignment horizontal="left" vertical="top" wrapText="1"/>
    </xf>
    <xf numFmtId="0" fontId="2159" fillId="5" borderId="3" xfId="0" applyFont="1" applyFill="1" applyBorder="1" applyAlignment="1">
      <alignment horizontal="left" vertical="top" wrapText="1"/>
    </xf>
    <xf numFmtId="0" fontId="2160" fillId="5" borderId="3" xfId="0" applyFont="1" applyFill="1" applyBorder="1" applyAlignment="1">
      <alignment horizontal="left" vertical="top" wrapText="1"/>
    </xf>
    <xf numFmtId="0" fontId="2161" fillId="5" borderId="3" xfId="0" applyFont="1" applyFill="1" applyBorder="1" applyAlignment="1">
      <alignment horizontal="left" vertical="top" wrapText="1"/>
    </xf>
    <xf numFmtId="0" fontId="2162" fillId="5" borderId="3" xfId="0" applyFont="1" applyFill="1" applyBorder="1" applyAlignment="1">
      <alignment horizontal="left" vertical="top" wrapText="1"/>
    </xf>
    <xf numFmtId="0" fontId="2163" fillId="5" borderId="3" xfId="0" applyFont="1" applyFill="1" applyBorder="1" applyAlignment="1">
      <alignment horizontal="left" vertical="top" wrapText="1"/>
    </xf>
    <xf numFmtId="0" fontId="2164" fillId="5" borderId="3" xfId="0" applyFont="1" applyFill="1" applyBorder="1" applyAlignment="1">
      <alignment horizontal="left" vertical="top" wrapText="1"/>
    </xf>
    <xf numFmtId="0" fontId="2165" fillId="5" borderId="3" xfId="0" applyFont="1" applyFill="1" applyBorder="1" applyAlignment="1">
      <alignment horizontal="left" vertical="top" wrapText="1"/>
    </xf>
    <xf numFmtId="0" fontId="2166" fillId="5" borderId="3" xfId="0" applyFont="1" applyFill="1" applyBorder="1" applyAlignment="1">
      <alignment horizontal="left" vertical="top" wrapText="1"/>
    </xf>
    <xf numFmtId="0" fontId="2167" fillId="5" borderId="3" xfId="0" applyFont="1" applyFill="1" applyBorder="1" applyAlignment="1">
      <alignment horizontal="left" vertical="top" wrapText="1"/>
    </xf>
    <xf numFmtId="0" fontId="2172" fillId="5" borderId="3" xfId="0" applyFont="1" applyFill="1" applyBorder="1" applyAlignment="1">
      <alignment horizontal="left" vertical="top" wrapText="1"/>
    </xf>
    <xf numFmtId="0" fontId="2173" fillId="5" borderId="3" xfId="0" applyFont="1" applyFill="1" applyBorder="1" applyAlignment="1">
      <alignment horizontal="left" vertical="top" wrapText="1"/>
    </xf>
    <xf numFmtId="0" fontId="2174" fillId="5" borderId="3" xfId="0" applyFont="1" applyFill="1" applyBorder="1" applyAlignment="1">
      <alignment horizontal="left" vertical="top" wrapText="1"/>
    </xf>
    <xf numFmtId="0" fontId="2175" fillId="5" borderId="3" xfId="0" applyFont="1" applyFill="1" applyBorder="1" applyAlignment="1">
      <alignment horizontal="left" vertical="top" wrapText="1"/>
    </xf>
    <xf numFmtId="0" fontId="2176" fillId="5" borderId="3" xfId="0" applyFont="1" applyFill="1" applyBorder="1" applyAlignment="1">
      <alignment horizontal="left" vertical="top" wrapText="1"/>
    </xf>
    <xf numFmtId="0" fontId="2177" fillId="5" borderId="3" xfId="0" applyFont="1" applyFill="1" applyBorder="1" applyAlignment="1">
      <alignment horizontal="left" vertical="top" wrapText="1"/>
    </xf>
    <xf numFmtId="0" fontId="2178" fillId="5" borderId="3" xfId="0" applyFont="1" applyFill="1" applyBorder="1" applyAlignment="1">
      <alignment horizontal="left" vertical="top" wrapText="1"/>
    </xf>
    <xf numFmtId="0" fontId="2185" fillId="5" borderId="3" xfId="0" applyFont="1" applyFill="1" applyBorder="1" applyAlignment="1">
      <alignment horizontal="left" vertical="top" wrapText="1"/>
    </xf>
    <xf numFmtId="0" fontId="2186" fillId="5" borderId="3" xfId="0" applyFont="1" applyFill="1" applyBorder="1" applyAlignment="1">
      <alignment horizontal="left" vertical="top" wrapText="1"/>
    </xf>
    <xf numFmtId="0" fontId="2187" fillId="5" borderId="3" xfId="0" applyFont="1" applyFill="1" applyBorder="1" applyAlignment="1">
      <alignment horizontal="left" vertical="top" wrapText="1"/>
    </xf>
    <xf numFmtId="0" fontId="2188" fillId="5" borderId="3" xfId="0" applyFont="1" applyFill="1" applyBorder="1" applyAlignment="1">
      <alignment horizontal="left" vertical="top" wrapText="1"/>
    </xf>
    <xf numFmtId="0" fontId="2189" fillId="5" borderId="3" xfId="0" applyFont="1" applyFill="1" applyBorder="1" applyAlignment="1">
      <alignment horizontal="left" vertical="top" wrapText="1"/>
    </xf>
    <xf numFmtId="0" fontId="2190" fillId="5" borderId="3" xfId="0" applyFont="1" applyFill="1" applyBorder="1" applyAlignment="1">
      <alignment horizontal="left" vertical="top" wrapText="1"/>
    </xf>
    <xf numFmtId="0" fontId="2191" fillId="5" borderId="3" xfId="0" applyFont="1" applyFill="1" applyBorder="1" applyAlignment="1">
      <alignment horizontal="left" vertical="top" wrapText="1"/>
    </xf>
    <xf numFmtId="0" fontId="2192" fillId="5" borderId="3" xfId="0" applyFont="1" applyFill="1" applyBorder="1" applyAlignment="1">
      <alignment horizontal="left" vertical="top" wrapText="1"/>
    </xf>
    <xf numFmtId="0" fontId="2200" fillId="5" borderId="3" xfId="0" applyFont="1" applyFill="1" applyBorder="1" applyAlignment="1">
      <alignment horizontal="left" vertical="top" wrapText="1"/>
    </xf>
    <xf numFmtId="0" fontId="2201" fillId="5" borderId="3" xfId="0" applyFont="1" applyFill="1" applyBorder="1" applyAlignment="1">
      <alignment horizontal="left" vertical="top" wrapText="1"/>
    </xf>
    <xf numFmtId="0" fontId="2202" fillId="5" borderId="3" xfId="0" applyFont="1" applyFill="1" applyBorder="1" applyAlignment="1">
      <alignment horizontal="left" vertical="top" wrapText="1"/>
    </xf>
    <xf numFmtId="0" fontId="2203" fillId="5" borderId="3" xfId="0" applyFont="1" applyFill="1" applyBorder="1" applyAlignment="1">
      <alignment horizontal="left" vertical="top" wrapText="1"/>
    </xf>
    <xf numFmtId="0" fontId="2204" fillId="5" borderId="3" xfId="0" applyFont="1" applyFill="1" applyBorder="1" applyAlignment="1">
      <alignment horizontal="left" vertical="top" wrapText="1"/>
    </xf>
    <xf numFmtId="0" fontId="2205" fillId="5" borderId="3" xfId="0" applyFont="1" applyFill="1" applyBorder="1" applyAlignment="1">
      <alignment horizontal="left" vertical="top" wrapText="1"/>
    </xf>
    <xf numFmtId="0" fontId="2206" fillId="5" borderId="3" xfId="0" applyFont="1" applyFill="1" applyBorder="1" applyAlignment="1">
      <alignment horizontal="left" vertical="top" wrapText="1"/>
    </xf>
    <xf numFmtId="0" fontId="2207" fillId="5" borderId="3" xfId="0" applyFont="1" applyFill="1" applyBorder="1" applyAlignment="1">
      <alignment horizontal="left" vertical="top" wrapText="1"/>
    </xf>
    <xf numFmtId="0" fontId="2208" fillId="5" borderId="3" xfId="0" applyFont="1" applyFill="1" applyBorder="1" applyAlignment="1">
      <alignment horizontal="left" vertical="top" wrapText="1"/>
    </xf>
    <xf numFmtId="49" fontId="0" fillId="0" borderId="0" xfId="0" applyNumberFormat="1"/>
    <xf numFmtId="165" fontId="423" fillId="5" borderId="3" xfId="8" applyNumberFormat="1" applyFont="1" applyFill="1" applyBorder="1" applyAlignment="1">
      <alignment horizontal="left" vertical="top" wrapText="1"/>
    </xf>
    <xf numFmtId="165" fontId="510" fillId="5" borderId="3" xfId="8" applyNumberFormat="1" applyFont="1" applyFill="1" applyBorder="1" applyAlignment="1">
      <alignment horizontal="left" vertical="top" wrapText="1"/>
    </xf>
    <xf numFmtId="165" fontId="595" fillId="5" borderId="3" xfId="8" applyNumberFormat="1" applyFont="1" applyFill="1" applyBorder="1" applyAlignment="1">
      <alignment horizontal="left" vertical="top" wrapText="1"/>
    </xf>
    <xf numFmtId="165" fontId="511" fillId="5" borderId="3" xfId="8" applyNumberFormat="1" applyFont="1" applyFill="1" applyBorder="1" applyAlignment="1">
      <alignment horizontal="left" vertical="top" wrapText="1"/>
    </xf>
    <xf numFmtId="165" fontId="596" fillId="5" borderId="3" xfId="8" applyNumberFormat="1" applyFont="1" applyFill="1" applyBorder="1" applyAlignment="1">
      <alignment horizontal="left" vertical="top" wrapText="1"/>
    </xf>
    <xf numFmtId="165" fontId="571" fillId="5" borderId="3" xfId="8" applyNumberFormat="1" applyFont="1" applyFill="1" applyBorder="1" applyAlignment="1">
      <alignment horizontal="left" vertical="top" wrapText="1"/>
    </xf>
    <xf numFmtId="165" fontId="577" fillId="5" borderId="3" xfId="8" applyNumberFormat="1" applyFont="1" applyFill="1" applyBorder="1" applyAlignment="1">
      <alignment horizontal="left" vertical="top" wrapText="1"/>
    </xf>
    <xf numFmtId="165" fontId="666" fillId="5" borderId="3" xfId="8" applyNumberFormat="1" applyFont="1" applyFill="1" applyBorder="1" applyAlignment="1">
      <alignment horizontal="left" vertical="top" wrapText="1"/>
    </xf>
    <xf numFmtId="165" fontId="591" fillId="5" borderId="3" xfId="8" applyNumberFormat="1" applyFont="1" applyFill="1" applyBorder="1" applyAlignment="1">
      <alignment horizontal="left" vertical="top" wrapText="1"/>
    </xf>
    <xf numFmtId="165" fontId="512" fillId="5" borderId="3" xfId="8" applyNumberFormat="1" applyFont="1" applyFill="1" applyBorder="1" applyAlignment="1">
      <alignment horizontal="left" vertical="top" wrapText="1"/>
    </xf>
    <xf numFmtId="165" fontId="597" fillId="5" borderId="3" xfId="8" applyNumberFormat="1" applyFont="1" applyFill="1" applyBorder="1" applyAlignment="1">
      <alignment horizontal="left" vertical="top" wrapText="1"/>
    </xf>
    <xf numFmtId="165" fontId="513" fillId="5" borderId="3" xfId="8" applyNumberFormat="1" applyFont="1" applyFill="1" applyBorder="1" applyAlignment="1">
      <alignment horizontal="left" vertical="top" wrapText="1"/>
    </xf>
    <xf numFmtId="165" fontId="598" fillId="5" borderId="3" xfId="8" applyNumberFormat="1" applyFont="1" applyFill="1" applyBorder="1" applyAlignment="1">
      <alignment horizontal="left" vertical="top" wrapText="1"/>
    </xf>
    <xf numFmtId="165" fontId="628" fillId="5" borderId="3" xfId="8" applyNumberFormat="1" applyFont="1" applyFill="1" applyBorder="1" applyAlignment="1">
      <alignment horizontal="left" vertical="top" wrapText="1"/>
    </xf>
    <xf numFmtId="165" fontId="578" fillId="5" borderId="3" xfId="8" applyNumberFormat="1" applyFont="1" applyFill="1" applyBorder="1" applyAlignment="1">
      <alignment horizontal="left" vertical="top" wrapText="1"/>
    </xf>
    <xf numFmtId="165" fontId="514" fillId="5" borderId="3" xfId="8" applyNumberFormat="1" applyFont="1" applyFill="1" applyBorder="1" applyAlignment="1">
      <alignment horizontal="left" vertical="top" wrapText="1"/>
    </xf>
    <xf numFmtId="165" fontId="599" fillId="5" borderId="3" xfId="8" applyNumberFormat="1" applyFont="1" applyFill="1" applyBorder="1" applyAlignment="1">
      <alignment horizontal="left" vertical="top" wrapText="1"/>
    </xf>
    <xf numFmtId="165" fontId="642" fillId="5" borderId="3" xfId="8" applyNumberFormat="1" applyFont="1" applyFill="1" applyBorder="1" applyAlignment="1">
      <alignment horizontal="left" vertical="top" wrapText="1"/>
    </xf>
    <xf numFmtId="165" fontId="579" fillId="5" borderId="3" xfId="8" applyNumberFormat="1" applyFont="1" applyFill="1" applyBorder="1" applyAlignment="1">
      <alignment horizontal="left" vertical="top" wrapText="1"/>
    </xf>
    <xf numFmtId="165" fontId="643" fillId="5" borderId="3" xfId="8" applyNumberFormat="1" applyFont="1" applyFill="1" applyBorder="1" applyAlignment="1">
      <alignment horizontal="left" vertical="top" wrapText="1"/>
    </xf>
    <xf numFmtId="165" fontId="580" fillId="5" borderId="3" xfId="8" applyNumberFormat="1" applyFont="1" applyFill="1" applyBorder="1" applyAlignment="1">
      <alignment horizontal="left" vertical="top" wrapText="1"/>
    </xf>
    <xf numFmtId="165" fontId="515" fillId="5" borderId="3" xfId="8" applyNumberFormat="1" applyFont="1" applyFill="1" applyBorder="1" applyAlignment="1">
      <alignment horizontal="left" vertical="top" wrapText="1"/>
    </xf>
    <xf numFmtId="165" fontId="600" fillId="5" borderId="3" xfId="8" applyNumberFormat="1" applyFont="1" applyFill="1" applyBorder="1" applyAlignment="1">
      <alignment horizontal="left" vertical="top" wrapText="1"/>
    </xf>
    <xf numFmtId="165" fontId="644" fillId="5" borderId="3" xfId="8" applyNumberFormat="1" applyFont="1" applyFill="1" applyBorder="1" applyAlignment="1">
      <alignment horizontal="left" vertical="top" wrapText="1"/>
    </xf>
    <xf numFmtId="165" fontId="581" fillId="5" borderId="3" xfId="8" applyNumberFormat="1" applyFont="1" applyFill="1" applyBorder="1" applyAlignment="1">
      <alignment horizontal="left" vertical="top" wrapText="1"/>
    </xf>
    <xf numFmtId="165" fontId="645" fillId="5" borderId="3" xfId="8" applyNumberFormat="1" applyFont="1" applyFill="1" applyBorder="1" applyAlignment="1">
      <alignment horizontal="left" vertical="top" wrapText="1"/>
    </xf>
    <xf numFmtId="165" fontId="582" fillId="5" borderId="3" xfId="8" applyNumberFormat="1" applyFont="1" applyFill="1" applyBorder="1" applyAlignment="1">
      <alignment horizontal="left" vertical="top" wrapText="1"/>
    </xf>
    <xf numFmtId="165" fontId="516" fillId="5" borderId="3" xfId="8" applyNumberFormat="1" applyFont="1" applyFill="1" applyBorder="1" applyAlignment="1">
      <alignment horizontal="left" vertical="top" wrapText="1"/>
    </xf>
    <xf numFmtId="165" fontId="601" fillId="5" borderId="3" xfId="8" applyNumberFormat="1" applyFont="1" applyFill="1" applyBorder="1" applyAlignment="1">
      <alignment horizontal="left" vertical="top" wrapText="1"/>
    </xf>
    <xf numFmtId="165" fontId="517" fillId="5" borderId="3" xfId="8" applyNumberFormat="1" applyFont="1" applyFill="1" applyBorder="1" applyAlignment="1">
      <alignment horizontal="left" vertical="top" wrapText="1"/>
    </xf>
    <xf numFmtId="165" fontId="602" fillId="5" borderId="3" xfId="8" applyNumberFormat="1" applyFont="1" applyFill="1" applyBorder="1" applyAlignment="1">
      <alignment horizontal="left" vertical="top" wrapText="1"/>
    </xf>
    <xf numFmtId="165" fontId="646" fillId="5" borderId="3" xfId="8" applyNumberFormat="1" applyFont="1" applyFill="1" applyBorder="1" applyAlignment="1">
      <alignment horizontal="left" vertical="top" wrapText="1"/>
    </xf>
    <xf numFmtId="165" fontId="583" fillId="5" borderId="3" xfId="8" applyNumberFormat="1" applyFont="1" applyFill="1" applyBorder="1" applyAlignment="1">
      <alignment horizontal="left" vertical="top" wrapText="1"/>
    </xf>
    <xf numFmtId="165" fontId="518" fillId="5" borderId="3" xfId="8" applyNumberFormat="1" applyFont="1" applyFill="1" applyBorder="1" applyAlignment="1">
      <alignment horizontal="left" vertical="top" wrapText="1"/>
    </xf>
    <xf numFmtId="165" fontId="603" fillId="5" borderId="3" xfId="8" applyNumberFormat="1" applyFont="1" applyFill="1" applyBorder="1" applyAlignment="1">
      <alignment horizontal="left" vertical="top" wrapText="1"/>
    </xf>
    <xf numFmtId="165" fontId="519" fillId="5" borderId="3" xfId="8" applyNumberFormat="1" applyFont="1" applyFill="1" applyBorder="1" applyAlignment="1">
      <alignment horizontal="left" vertical="top" wrapText="1"/>
    </xf>
    <xf numFmtId="165" fontId="604" fillId="5" borderId="3" xfId="8" applyNumberFormat="1" applyFont="1" applyFill="1" applyBorder="1" applyAlignment="1">
      <alignment horizontal="left" vertical="top" wrapText="1"/>
    </xf>
    <xf numFmtId="165" fontId="647" fillId="5" borderId="3" xfId="8" applyNumberFormat="1" applyFont="1" applyFill="1" applyBorder="1" applyAlignment="1">
      <alignment horizontal="left" vertical="top" wrapText="1"/>
    </xf>
    <xf numFmtId="165" fontId="584" fillId="5" borderId="3" xfId="8" applyNumberFormat="1" applyFont="1" applyFill="1" applyBorder="1" applyAlignment="1">
      <alignment horizontal="left" vertical="top" wrapText="1"/>
    </xf>
    <xf numFmtId="165" fontId="520" fillId="5" borderId="3" xfId="8" applyNumberFormat="1" applyFont="1" applyFill="1" applyBorder="1" applyAlignment="1">
      <alignment horizontal="left" vertical="top" wrapText="1"/>
    </xf>
    <xf numFmtId="165" fontId="472" fillId="5" borderId="3" xfId="8" applyNumberFormat="1" applyFont="1" applyFill="1" applyBorder="1" applyAlignment="1">
      <alignment horizontal="left" vertical="top" wrapText="1"/>
    </xf>
    <xf numFmtId="165" fontId="648" fillId="5" borderId="3" xfId="8" applyNumberFormat="1" applyFont="1" applyFill="1" applyBorder="1" applyAlignment="1">
      <alignment horizontal="left" vertical="top" wrapText="1"/>
    </xf>
    <xf numFmtId="165" fontId="585" fillId="5" borderId="3" xfId="8" applyNumberFormat="1" applyFont="1" applyFill="1" applyBorder="1" applyAlignment="1">
      <alignment horizontal="left" vertical="top" wrapText="1"/>
    </xf>
    <xf numFmtId="165" fontId="521" fillId="5" borderId="3" xfId="8" applyNumberFormat="1" applyFont="1" applyFill="1" applyBorder="1" applyAlignment="1">
      <alignment horizontal="left" vertical="top" wrapText="1"/>
    </xf>
    <xf numFmtId="165" fontId="473" fillId="5" borderId="3" xfId="8" applyNumberFormat="1" applyFont="1" applyFill="1" applyBorder="1" applyAlignment="1">
      <alignment horizontal="left" vertical="top" wrapText="1"/>
    </xf>
    <xf numFmtId="165" fontId="649" fillId="5" borderId="3" xfId="8" applyNumberFormat="1" applyFont="1" applyFill="1" applyBorder="1" applyAlignment="1">
      <alignment horizontal="left" vertical="top" wrapText="1"/>
    </xf>
    <xf numFmtId="165" fontId="586" fillId="5" borderId="3" xfId="8" applyNumberFormat="1" applyFont="1" applyFill="1" applyBorder="1" applyAlignment="1">
      <alignment horizontal="left" vertical="top" wrapText="1"/>
    </xf>
    <xf numFmtId="165" fontId="522" fillId="5" borderId="3" xfId="8" applyNumberFormat="1" applyFont="1" applyFill="1" applyBorder="1" applyAlignment="1">
      <alignment horizontal="left" vertical="top" wrapText="1"/>
    </xf>
    <xf numFmtId="165" fontId="474" fillId="5" borderId="3" xfId="8" applyNumberFormat="1" applyFont="1" applyFill="1" applyBorder="1" applyAlignment="1">
      <alignment horizontal="left" vertical="top" wrapText="1"/>
    </xf>
    <xf numFmtId="165" fontId="523" fillId="5" borderId="3" xfId="8" applyNumberFormat="1" applyFont="1" applyFill="1" applyBorder="1" applyAlignment="1">
      <alignment horizontal="left" vertical="top" wrapText="1"/>
    </xf>
    <xf numFmtId="165" fontId="475" fillId="5" borderId="3" xfId="8" applyNumberFormat="1" applyFont="1" applyFill="1" applyBorder="1" applyAlignment="1">
      <alignment horizontal="left" vertical="top" wrapText="1"/>
    </xf>
    <xf numFmtId="165" fontId="561" fillId="5" borderId="3" xfId="8" applyNumberFormat="1" applyFont="1" applyFill="1" applyBorder="1" applyAlignment="1">
      <alignment horizontal="left" vertical="top" wrapText="1"/>
    </xf>
    <xf numFmtId="165" fontId="655" fillId="5" borderId="3" xfId="8" applyNumberFormat="1" applyFont="1" applyFill="1" applyBorder="1" applyAlignment="1">
      <alignment horizontal="left" vertical="top" wrapText="1"/>
    </xf>
    <xf numFmtId="165" fontId="524" fillId="5" borderId="3" xfId="8" applyNumberFormat="1" applyFont="1" applyFill="1" applyBorder="1" applyAlignment="1">
      <alignment horizontal="left" vertical="top" wrapText="1"/>
    </xf>
    <xf numFmtId="165" fontId="476" fillId="5" borderId="3" xfId="8" applyNumberFormat="1" applyFont="1" applyFill="1" applyBorder="1" applyAlignment="1">
      <alignment horizontal="left" vertical="top" wrapText="1"/>
    </xf>
    <xf numFmtId="165" fontId="562" fillId="5" borderId="3" xfId="8" applyNumberFormat="1" applyFont="1" applyFill="1" applyBorder="1" applyAlignment="1">
      <alignment horizontal="left" vertical="top" wrapText="1"/>
    </xf>
    <xf numFmtId="165" fontId="656" fillId="5" borderId="3" xfId="8" applyNumberFormat="1" applyFont="1" applyFill="1" applyBorder="1" applyAlignment="1">
      <alignment horizontal="left" vertical="top" wrapText="1"/>
    </xf>
    <xf numFmtId="165" fontId="563" fillId="5" borderId="3" xfId="8" applyNumberFormat="1" applyFont="1" applyFill="1" applyBorder="1" applyAlignment="1">
      <alignment horizontal="left" vertical="top" wrapText="1"/>
    </xf>
    <xf numFmtId="165" fontId="657" fillId="5" borderId="3" xfId="8" applyNumberFormat="1" applyFont="1" applyFill="1" applyBorder="1" applyAlignment="1">
      <alignment horizontal="left" vertical="top" wrapText="1"/>
    </xf>
    <xf numFmtId="165" fontId="650" fillId="5" borderId="3" xfId="8" applyNumberFormat="1" applyFont="1" applyFill="1" applyBorder="1" applyAlignment="1">
      <alignment horizontal="left" vertical="top" wrapText="1"/>
    </xf>
    <xf numFmtId="165" fontId="587" fillId="5" borderId="3" xfId="8" applyNumberFormat="1" applyFont="1" applyFill="1" applyBorder="1" applyAlignment="1">
      <alignment horizontal="left" vertical="top" wrapText="1"/>
    </xf>
    <xf numFmtId="165" fontId="564" fillId="5" borderId="3" xfId="8" applyNumberFormat="1" applyFont="1" applyFill="1" applyBorder="1" applyAlignment="1">
      <alignment horizontal="left" vertical="top" wrapText="1"/>
    </xf>
    <xf numFmtId="165" fontId="658" fillId="5" borderId="3" xfId="8" applyNumberFormat="1" applyFont="1" applyFill="1" applyBorder="1" applyAlignment="1">
      <alignment horizontal="left" vertical="top" wrapText="1"/>
    </xf>
    <xf numFmtId="165" fontId="565" fillId="5" borderId="3" xfId="8" applyNumberFormat="1" applyFont="1" applyFill="1" applyBorder="1" applyAlignment="1">
      <alignment horizontal="left" vertical="top" wrapText="1"/>
    </xf>
    <xf numFmtId="165" fontId="659" fillId="5" borderId="3" xfId="8" applyNumberFormat="1" applyFont="1" applyFill="1" applyBorder="1" applyAlignment="1">
      <alignment horizontal="left" vertical="top" wrapText="1"/>
    </xf>
    <xf numFmtId="165" fontId="525" fillId="5" borderId="3" xfId="8" applyNumberFormat="1" applyFont="1" applyFill="1" applyBorder="1" applyAlignment="1">
      <alignment horizontal="left" vertical="top" wrapText="1"/>
    </xf>
    <xf numFmtId="165" fontId="477" fillId="5" borderId="3" xfId="8" applyNumberFormat="1" applyFont="1" applyFill="1" applyBorder="1" applyAlignment="1">
      <alignment horizontal="left" vertical="top" wrapText="1"/>
    </xf>
    <xf numFmtId="165" fontId="566" fillId="5" borderId="3" xfId="8" applyNumberFormat="1" applyFont="1" applyFill="1" applyBorder="1" applyAlignment="1">
      <alignment horizontal="left" vertical="top" wrapText="1"/>
    </xf>
    <xf numFmtId="165" fontId="660" fillId="5" borderId="3" xfId="8" applyNumberFormat="1" applyFont="1" applyFill="1" applyBorder="1" applyAlignment="1">
      <alignment horizontal="left" vertical="top" wrapText="1"/>
    </xf>
    <xf numFmtId="165" fontId="651" fillId="5" borderId="3" xfId="8" applyNumberFormat="1" applyFont="1" applyFill="1" applyBorder="1" applyAlignment="1">
      <alignment horizontal="left" vertical="top" wrapText="1"/>
    </xf>
    <xf numFmtId="165" fontId="588" fillId="5" borderId="3" xfId="8" applyNumberFormat="1" applyFont="1" applyFill="1" applyBorder="1" applyAlignment="1">
      <alignment horizontal="left" vertical="top" wrapText="1"/>
    </xf>
    <xf numFmtId="165" fontId="567" fillId="5" borderId="3" xfId="8" applyNumberFormat="1" applyFont="1" applyFill="1" applyBorder="1" applyAlignment="1">
      <alignment horizontal="left" vertical="top" wrapText="1"/>
    </xf>
    <xf numFmtId="165" fontId="661" fillId="5" borderId="3" xfId="8" applyNumberFormat="1" applyFont="1" applyFill="1" applyBorder="1" applyAlignment="1">
      <alignment horizontal="left" vertical="top" wrapText="1"/>
    </xf>
    <xf numFmtId="165" fontId="920" fillId="5" borderId="3" xfId="8" applyNumberFormat="1" applyFont="1" applyFill="1" applyBorder="1" applyAlignment="1">
      <alignment horizontal="left" vertical="top" wrapText="1"/>
    </xf>
    <xf numFmtId="165" fontId="903" fillId="5" borderId="3" xfId="8" applyNumberFormat="1" applyFont="1" applyFill="1" applyBorder="1" applyAlignment="1">
      <alignment horizontal="left" vertical="top" wrapText="1"/>
    </xf>
    <xf numFmtId="165" fontId="904" fillId="5" borderId="3" xfId="8" applyNumberFormat="1" applyFont="1" applyFill="1" applyBorder="1" applyAlignment="1">
      <alignment horizontal="left" vertical="top" wrapText="1"/>
    </xf>
    <xf numFmtId="165" fontId="905" fillId="5" borderId="3" xfId="8" applyNumberFormat="1" applyFont="1" applyFill="1" applyBorder="1" applyAlignment="1">
      <alignment horizontal="left" vertical="top" wrapText="1"/>
    </xf>
    <xf numFmtId="165" fontId="906" fillId="5" borderId="3" xfId="8" applyNumberFormat="1" applyFont="1" applyFill="1" applyBorder="1" applyAlignment="1">
      <alignment horizontal="left" vertical="top" wrapText="1"/>
    </xf>
    <xf numFmtId="165" fontId="907" fillId="5" borderId="3" xfId="8" applyNumberFormat="1" applyFont="1" applyFill="1" applyBorder="1" applyAlignment="1">
      <alignment horizontal="left" vertical="top" wrapText="1"/>
    </xf>
    <xf numFmtId="165" fontId="908" fillId="5" borderId="3" xfId="8" applyNumberFormat="1" applyFont="1" applyFill="1" applyBorder="1" applyAlignment="1">
      <alignment horizontal="left" vertical="top" wrapText="1"/>
    </xf>
    <xf numFmtId="165" fontId="909" fillId="5" borderId="3" xfId="8" applyNumberFormat="1" applyFont="1" applyFill="1" applyBorder="1" applyAlignment="1">
      <alignment horizontal="left" vertical="top" wrapText="1"/>
    </xf>
    <xf numFmtId="165" fontId="910" fillId="5" borderId="3" xfId="8" applyNumberFormat="1" applyFont="1" applyFill="1" applyBorder="1" applyAlignment="1">
      <alignment horizontal="left" vertical="top" wrapText="1"/>
    </xf>
    <xf numFmtId="165" fontId="911" fillId="5" borderId="3" xfId="8" applyNumberFormat="1" applyFont="1" applyFill="1" applyBorder="1" applyAlignment="1">
      <alignment horizontal="left" vertical="top" wrapText="1"/>
    </xf>
    <xf numFmtId="165" fontId="912" fillId="5" borderId="3" xfId="8" applyNumberFormat="1" applyFont="1" applyFill="1" applyBorder="1" applyAlignment="1">
      <alignment horizontal="left" vertical="top" wrapText="1"/>
    </xf>
    <xf numFmtId="165" fontId="674" fillId="5" borderId="3" xfId="8" applyNumberFormat="1" applyFont="1" applyFill="1" applyBorder="1" applyAlignment="1">
      <alignment horizontal="left" vertical="top" wrapText="1"/>
    </xf>
    <xf numFmtId="165" fontId="675" fillId="5" borderId="3" xfId="8" applyNumberFormat="1" applyFont="1" applyFill="1" applyBorder="1" applyAlignment="1">
      <alignment horizontal="left" vertical="top" wrapText="1"/>
    </xf>
    <xf numFmtId="165" fontId="676" fillId="5" borderId="3" xfId="8" applyNumberFormat="1" applyFont="1" applyFill="1" applyBorder="1" applyAlignment="1">
      <alignment horizontal="left" vertical="top" wrapText="1"/>
    </xf>
    <xf numFmtId="165" fontId="921" fillId="5" borderId="3" xfId="8" applyNumberFormat="1" applyFont="1" applyFill="1" applyBorder="1" applyAlignment="1">
      <alignment horizontal="left" vertical="top" wrapText="1"/>
    </xf>
    <xf numFmtId="165" fontId="677" fillId="5" borderId="3" xfId="8" applyNumberFormat="1" applyFont="1" applyFill="1" applyBorder="1" applyAlignment="1">
      <alignment horizontal="left" vertical="top" wrapText="1"/>
    </xf>
    <xf numFmtId="165" fontId="922" fillId="5" borderId="3" xfId="8" applyNumberFormat="1" applyFont="1" applyFill="1" applyBorder="1" applyAlignment="1">
      <alignment horizontal="left" vertical="top" wrapText="1"/>
    </xf>
    <xf numFmtId="165" fontId="678" fillId="5" borderId="3" xfId="8" applyNumberFormat="1" applyFont="1" applyFill="1" applyBorder="1" applyAlignment="1">
      <alignment horizontal="left" vertical="top" wrapText="1"/>
    </xf>
    <xf numFmtId="165" fontId="924" fillId="5" borderId="3" xfId="8" applyNumberFormat="1" applyFont="1" applyFill="1" applyBorder="1" applyAlignment="1">
      <alignment horizontal="left" vertical="top" wrapText="1"/>
    </xf>
    <xf numFmtId="165" fontId="680" fillId="5" borderId="3" xfId="8" applyNumberFormat="1" applyFont="1" applyFill="1" applyBorder="1" applyAlignment="1">
      <alignment horizontal="left" vertical="top" wrapText="1"/>
    </xf>
    <xf numFmtId="165" fontId="925" fillId="5" borderId="3" xfId="8" applyNumberFormat="1" applyFont="1" applyFill="1" applyBorder="1" applyAlignment="1">
      <alignment horizontal="left" vertical="top" wrapText="1"/>
    </xf>
    <xf numFmtId="165" fontId="681" fillId="5" borderId="3" xfId="8" applyNumberFormat="1" applyFont="1" applyFill="1" applyBorder="1" applyAlignment="1">
      <alignment horizontal="left" vertical="top" wrapText="1"/>
    </xf>
    <xf numFmtId="165" fontId="926" fillId="5" borderId="3" xfId="8" applyNumberFormat="1" applyFont="1" applyFill="1" applyBorder="1" applyAlignment="1">
      <alignment horizontal="left" vertical="top" wrapText="1"/>
    </xf>
    <xf numFmtId="165" fontId="682" fillId="5" borderId="3" xfId="8" applyNumberFormat="1" applyFont="1" applyFill="1" applyBorder="1" applyAlignment="1">
      <alignment horizontal="left" vertical="top" wrapText="1"/>
    </xf>
    <xf numFmtId="165" fontId="927" fillId="5" borderId="3" xfId="8" applyNumberFormat="1" applyFont="1" applyFill="1" applyBorder="1" applyAlignment="1">
      <alignment horizontal="left" vertical="top" wrapText="1"/>
    </xf>
    <xf numFmtId="165" fontId="683" fillId="5" borderId="3" xfId="8" applyNumberFormat="1" applyFont="1" applyFill="1" applyBorder="1" applyAlignment="1">
      <alignment horizontal="left" vertical="top" wrapText="1"/>
    </xf>
    <xf numFmtId="165" fontId="928" fillId="5" borderId="3" xfId="8" applyNumberFormat="1" applyFont="1" applyFill="1" applyBorder="1" applyAlignment="1">
      <alignment horizontal="left" vertical="top" wrapText="1"/>
    </xf>
    <xf numFmtId="165" fontId="684" fillId="5" borderId="3" xfId="8" applyNumberFormat="1" applyFont="1" applyFill="1" applyBorder="1" applyAlignment="1">
      <alignment horizontal="left" vertical="top" wrapText="1"/>
    </xf>
    <xf numFmtId="165" fontId="710" fillId="5" borderId="3" xfId="8" applyNumberFormat="1" applyFont="1" applyFill="1" applyBorder="1" applyAlignment="1">
      <alignment horizontal="left" vertical="top" wrapText="1"/>
    </xf>
    <xf numFmtId="165" fontId="685" fillId="5" borderId="3" xfId="8" applyNumberFormat="1" applyFont="1" applyFill="1" applyBorder="1" applyAlignment="1">
      <alignment horizontal="left" vertical="top" wrapText="1"/>
    </xf>
    <xf numFmtId="165" fontId="711" fillId="5" borderId="3" xfId="8" applyNumberFormat="1" applyFont="1" applyFill="1" applyBorder="1" applyAlignment="1">
      <alignment horizontal="left" vertical="top" wrapText="1"/>
    </xf>
    <xf numFmtId="165" fontId="686" fillId="5" borderId="3" xfId="8" applyNumberFormat="1" applyFont="1" applyFill="1" applyBorder="1" applyAlignment="1">
      <alignment horizontal="left" vertical="top" wrapText="1"/>
    </xf>
    <xf numFmtId="165" fontId="712" fillId="5" borderId="3" xfId="8" applyNumberFormat="1" applyFont="1" applyFill="1" applyBorder="1" applyAlignment="1">
      <alignment horizontal="left" vertical="top" wrapText="1"/>
    </xf>
    <xf numFmtId="165" fontId="688" fillId="5" borderId="3" xfId="8" applyNumberFormat="1" applyFont="1" applyFill="1" applyBorder="1" applyAlignment="1">
      <alignment horizontal="left" vertical="top" wrapText="1"/>
    </xf>
    <xf numFmtId="165" fontId="713" fillId="5" borderId="3" xfId="8" applyNumberFormat="1" applyFont="1" applyFill="1" applyBorder="1" applyAlignment="1">
      <alignment horizontal="left" vertical="top" wrapText="1"/>
    </xf>
    <xf numFmtId="165" fontId="689" fillId="5" borderId="3" xfId="8" applyNumberFormat="1" applyFont="1" applyFill="1" applyBorder="1" applyAlignment="1">
      <alignment horizontal="left" vertical="top" wrapText="1"/>
    </xf>
    <xf numFmtId="165" fontId="714" fillId="5" borderId="3" xfId="8" applyNumberFormat="1" applyFont="1" applyFill="1" applyBorder="1" applyAlignment="1">
      <alignment horizontal="left" vertical="top" wrapText="1"/>
    </xf>
    <xf numFmtId="165" fontId="690" fillId="5" borderId="3" xfId="8" applyNumberFormat="1" applyFont="1" applyFill="1" applyBorder="1" applyAlignment="1">
      <alignment horizontal="left" vertical="top" wrapText="1"/>
    </xf>
    <xf numFmtId="165" fontId="715" fillId="5" borderId="3" xfId="8" applyNumberFormat="1" applyFont="1" applyFill="1" applyBorder="1" applyAlignment="1">
      <alignment horizontal="left" vertical="top" wrapText="1"/>
    </xf>
    <xf numFmtId="165" fontId="691" fillId="5" borderId="3" xfId="8" applyNumberFormat="1" applyFont="1" applyFill="1" applyBorder="1" applyAlignment="1">
      <alignment horizontal="left" vertical="top" wrapText="1"/>
    </xf>
    <xf numFmtId="165" fontId="716" fillId="5" borderId="3" xfId="8" applyNumberFormat="1" applyFont="1" applyFill="1" applyBorder="1" applyAlignment="1">
      <alignment horizontal="left" vertical="top" wrapText="1"/>
    </xf>
    <xf numFmtId="165" fontId="692" fillId="5" borderId="3" xfId="8" applyNumberFormat="1" applyFont="1" applyFill="1" applyBorder="1" applyAlignment="1">
      <alignment horizontal="left" vertical="top" wrapText="1"/>
    </xf>
    <xf numFmtId="165" fontId="717" fillId="5" borderId="3" xfId="8" applyNumberFormat="1" applyFont="1" applyFill="1" applyBorder="1" applyAlignment="1">
      <alignment horizontal="left" vertical="top" wrapText="1"/>
    </xf>
    <xf numFmtId="165" fontId="693" fillId="5" borderId="3" xfId="8" applyNumberFormat="1" applyFont="1" applyFill="1" applyBorder="1" applyAlignment="1">
      <alignment horizontal="left" vertical="top" wrapText="1"/>
    </xf>
    <xf numFmtId="165" fontId="718" fillId="5" borderId="3" xfId="8" applyNumberFormat="1" applyFont="1" applyFill="1" applyBorder="1" applyAlignment="1">
      <alignment horizontal="left" vertical="top" wrapText="1"/>
    </xf>
    <xf numFmtId="165" fontId="694" fillId="5" borderId="3" xfId="8" applyNumberFormat="1" applyFont="1" applyFill="1" applyBorder="1" applyAlignment="1">
      <alignment horizontal="left" vertical="top" wrapText="1"/>
    </xf>
    <xf numFmtId="165" fontId="719" fillId="5" borderId="3" xfId="8" applyNumberFormat="1" applyFont="1" applyFill="1" applyBorder="1" applyAlignment="1">
      <alignment horizontal="left" vertical="top" wrapText="1"/>
    </xf>
    <xf numFmtId="165" fontId="695" fillId="5" borderId="3" xfId="8" applyNumberFormat="1" applyFont="1" applyFill="1" applyBorder="1" applyAlignment="1">
      <alignment horizontal="left" vertical="top" wrapText="1"/>
    </xf>
    <xf numFmtId="165" fontId="720" fillId="5" borderId="3" xfId="8" applyNumberFormat="1" applyFont="1" applyFill="1" applyBorder="1" applyAlignment="1">
      <alignment horizontal="left" vertical="top" wrapText="1"/>
    </xf>
    <xf numFmtId="165" fontId="992" fillId="5" borderId="3" xfId="8" applyNumberFormat="1" applyFont="1" applyFill="1" applyBorder="1" applyAlignment="1">
      <alignment horizontal="left" vertical="top" wrapText="1"/>
    </xf>
    <xf numFmtId="165" fontId="722" fillId="5" borderId="3" xfId="8" applyNumberFormat="1" applyFont="1" applyFill="1" applyBorder="1" applyAlignment="1">
      <alignment horizontal="left" vertical="top" wrapText="1"/>
    </xf>
    <xf numFmtId="165" fontId="994" fillId="5" borderId="3" xfId="8" applyNumberFormat="1" applyFont="1" applyFill="1" applyBorder="1" applyAlignment="1">
      <alignment horizontal="left" vertical="top" wrapText="1"/>
    </xf>
    <xf numFmtId="165" fontId="723" fillId="5" borderId="3" xfId="8" applyNumberFormat="1" applyFont="1" applyFill="1" applyBorder="1" applyAlignment="1">
      <alignment horizontal="left" vertical="top" wrapText="1"/>
    </xf>
    <xf numFmtId="165" fontId="995" fillId="5" borderId="3" xfId="8" applyNumberFormat="1" applyFont="1" applyFill="1" applyBorder="1" applyAlignment="1">
      <alignment horizontal="left" vertical="top" wrapText="1"/>
    </xf>
    <xf numFmtId="165" fontId="724" fillId="5" borderId="3" xfId="8" applyNumberFormat="1" applyFont="1" applyFill="1" applyBorder="1" applyAlignment="1">
      <alignment horizontal="left" vertical="top" wrapText="1"/>
    </xf>
    <xf numFmtId="165" fontId="996" fillId="5" borderId="3" xfId="8" applyNumberFormat="1" applyFont="1" applyFill="1" applyBorder="1" applyAlignment="1">
      <alignment horizontal="left" vertical="top" wrapText="1"/>
    </xf>
    <xf numFmtId="165" fontId="725" fillId="5" borderId="3" xfId="8" applyNumberFormat="1" applyFont="1" applyFill="1" applyBorder="1" applyAlignment="1">
      <alignment horizontal="left" vertical="top" wrapText="1"/>
    </xf>
    <xf numFmtId="165" fontId="997" fillId="5" borderId="3" xfId="8" applyNumberFormat="1" applyFont="1" applyFill="1" applyBorder="1" applyAlignment="1">
      <alignment horizontal="left" vertical="top" wrapText="1"/>
    </xf>
    <xf numFmtId="165" fontId="726" fillId="5" borderId="3" xfId="8" applyNumberFormat="1" applyFont="1" applyFill="1" applyBorder="1" applyAlignment="1">
      <alignment horizontal="left" vertical="top" wrapText="1"/>
    </xf>
    <xf numFmtId="165" fontId="854" fillId="5" borderId="3" xfId="8" applyNumberFormat="1" applyFont="1" applyFill="1" applyBorder="1" applyAlignment="1">
      <alignment horizontal="left" vertical="top" wrapText="1"/>
    </xf>
    <xf numFmtId="165" fontId="728" fillId="5" borderId="3" xfId="8" applyNumberFormat="1" applyFont="1" applyFill="1" applyBorder="1" applyAlignment="1">
      <alignment horizontal="left" vertical="top" wrapText="1"/>
    </xf>
    <xf numFmtId="165" fontId="792" fillId="5" borderId="3" xfId="8" applyNumberFormat="1" applyFont="1" applyFill="1" applyBorder="1" applyAlignment="1">
      <alignment horizontal="left" vertical="top" wrapText="1"/>
    </xf>
    <xf numFmtId="165" fontId="697" fillId="5" borderId="3" xfId="8" applyNumberFormat="1" applyFont="1" applyFill="1" applyBorder="1" applyAlignment="1">
      <alignment horizontal="left" vertical="top" wrapText="1"/>
    </xf>
    <xf numFmtId="165" fontId="793" fillId="5" borderId="3" xfId="8" applyNumberFormat="1" applyFont="1" applyFill="1" applyBorder="1" applyAlignment="1">
      <alignment horizontal="left" vertical="top" wrapText="1"/>
    </xf>
    <xf numFmtId="165" fontId="795" fillId="5" borderId="3" xfId="8" applyNumberFormat="1" applyFont="1" applyFill="1" applyBorder="1" applyAlignment="1">
      <alignment horizontal="left" vertical="top" wrapText="1"/>
    </xf>
    <xf numFmtId="165" fontId="808" fillId="5" borderId="3" xfId="8" applyNumberFormat="1" applyFont="1" applyFill="1" applyBorder="1" applyAlignment="1">
      <alignment horizontal="left" vertical="top" wrapText="1"/>
    </xf>
    <xf numFmtId="165" fontId="796" fillId="5" borderId="3" xfId="8" applyNumberFormat="1" applyFont="1" applyFill="1" applyBorder="1" applyAlignment="1">
      <alignment horizontal="left" vertical="top" wrapText="1"/>
    </xf>
    <xf numFmtId="165" fontId="809" fillId="5" borderId="3" xfId="8" applyNumberFormat="1" applyFont="1" applyFill="1" applyBorder="1" applyAlignment="1">
      <alignment horizontal="left" vertical="top" wrapText="1"/>
    </xf>
    <xf numFmtId="165" fontId="797" fillId="5" borderId="3" xfId="8" applyNumberFormat="1" applyFont="1" applyFill="1" applyBorder="1" applyAlignment="1">
      <alignment horizontal="left" vertical="top" wrapText="1"/>
    </xf>
    <xf numFmtId="165" fontId="810" fillId="5" borderId="3" xfId="8" applyNumberFormat="1" applyFont="1" applyFill="1" applyBorder="1" applyAlignment="1">
      <alignment horizontal="left" vertical="top" wrapText="1"/>
    </xf>
    <xf numFmtId="165" fontId="798" fillId="5" borderId="3" xfId="8" applyNumberFormat="1" applyFont="1" applyFill="1" applyBorder="1" applyAlignment="1">
      <alignment horizontal="left" vertical="top" wrapText="1"/>
    </xf>
    <xf numFmtId="165" fontId="811" fillId="5" borderId="3" xfId="8" applyNumberFormat="1" applyFont="1" applyFill="1" applyBorder="1" applyAlignment="1">
      <alignment horizontal="left" vertical="top" wrapText="1"/>
    </xf>
    <xf numFmtId="165" fontId="799" fillId="5" borderId="3" xfId="8" applyNumberFormat="1" applyFont="1" applyFill="1" applyBorder="1" applyAlignment="1">
      <alignment horizontal="left" vertical="top" wrapText="1"/>
    </xf>
    <xf numFmtId="165" fontId="839" fillId="5" borderId="3" xfId="8" applyNumberFormat="1" applyFont="1" applyFill="1" applyBorder="1" applyAlignment="1">
      <alignment horizontal="left" vertical="top" wrapText="1"/>
    </xf>
    <xf numFmtId="165" fontId="800" fillId="5" borderId="3" xfId="8" applyNumberFormat="1" applyFont="1" applyFill="1" applyBorder="1" applyAlignment="1">
      <alignment horizontal="left" vertical="top" wrapText="1"/>
    </xf>
    <xf numFmtId="165" fontId="812" fillId="5" borderId="3" xfId="8" applyNumberFormat="1" applyFont="1" applyFill="1" applyBorder="1" applyAlignment="1">
      <alignment horizontal="left" vertical="top" wrapText="1"/>
    </xf>
    <xf numFmtId="165" fontId="801" fillId="5" borderId="3" xfId="8" applyNumberFormat="1" applyFont="1" applyFill="1" applyBorder="1" applyAlignment="1">
      <alignment horizontal="left" vertical="top" wrapText="1"/>
    </xf>
    <xf numFmtId="165" fontId="813" fillId="5" borderId="3" xfId="8" applyNumberFormat="1" applyFont="1" applyFill="1" applyBorder="1" applyAlignment="1">
      <alignment horizontal="left" vertical="top" wrapText="1"/>
    </xf>
    <xf numFmtId="165" fontId="804" fillId="5" borderId="3" xfId="8" applyNumberFormat="1" applyFont="1" applyFill="1" applyBorder="1" applyAlignment="1">
      <alignment horizontal="left" vertical="top" wrapText="1"/>
    </xf>
    <xf numFmtId="165" fontId="815" fillId="5" borderId="3" xfId="8" applyNumberFormat="1" applyFont="1" applyFill="1" applyBorder="1" applyAlignment="1">
      <alignment horizontal="left" vertical="top" wrapText="1"/>
    </xf>
    <xf numFmtId="165" fontId="805" fillId="5" borderId="3" xfId="8" applyNumberFormat="1" applyFont="1" applyFill="1" applyBorder="1" applyAlignment="1">
      <alignment horizontal="left" vertical="top" wrapText="1"/>
    </xf>
    <xf numFmtId="165" fontId="891" fillId="5" borderId="3" xfId="8" applyNumberFormat="1" applyFont="1" applyFill="1" applyBorder="1" applyAlignment="1">
      <alignment horizontal="left" vertical="top" wrapText="1"/>
    </xf>
    <xf numFmtId="165" fontId="806" fillId="5" borderId="3" xfId="8" applyNumberFormat="1" applyFont="1" applyFill="1" applyBorder="1" applyAlignment="1">
      <alignment horizontal="left" vertical="top" wrapText="1"/>
    </xf>
    <xf numFmtId="165" fontId="892" fillId="5" borderId="3" xfId="8" applyNumberFormat="1" applyFont="1" applyFill="1" applyBorder="1" applyAlignment="1">
      <alignment horizontal="left" vertical="top" wrapText="1"/>
    </xf>
    <xf numFmtId="165" fontId="913" fillId="5" borderId="3" xfId="8" applyNumberFormat="1" applyFont="1" applyFill="1" applyBorder="1" applyAlignment="1">
      <alignment horizontal="left" vertical="top" wrapText="1"/>
    </xf>
    <xf numFmtId="165" fontId="893" fillId="5" borderId="3" xfId="8" applyNumberFormat="1" applyFont="1" applyFill="1" applyBorder="1" applyAlignment="1">
      <alignment horizontal="left" vertical="top" wrapText="1"/>
    </xf>
    <xf numFmtId="165" fontId="914" fillId="5" borderId="3" xfId="8" applyNumberFormat="1" applyFont="1" applyFill="1" applyBorder="1" applyAlignment="1">
      <alignment horizontal="left" vertical="top" wrapText="1"/>
    </xf>
    <xf numFmtId="165" fontId="894" fillId="5" borderId="3" xfId="8" applyNumberFormat="1" applyFont="1" applyFill="1" applyBorder="1" applyAlignment="1">
      <alignment horizontal="left" vertical="top" wrapText="1"/>
    </xf>
    <xf numFmtId="165" fontId="917" fillId="5" borderId="3" xfId="8" applyNumberFormat="1" applyFont="1" applyFill="1" applyBorder="1" applyAlignment="1">
      <alignment horizontal="left" vertical="top" wrapText="1"/>
    </xf>
    <xf numFmtId="165" fontId="895" fillId="5" borderId="3" xfId="8" applyNumberFormat="1" applyFont="1" applyFill="1" applyBorder="1" applyAlignment="1">
      <alignment horizontal="left" vertical="top" wrapText="1"/>
    </xf>
    <xf numFmtId="165" fontId="918" fillId="5" borderId="3" xfId="8" applyNumberFormat="1" applyFont="1" applyFill="1" applyBorder="1" applyAlignment="1">
      <alignment horizontal="left" vertical="top" wrapText="1"/>
    </xf>
    <xf numFmtId="165" fontId="896" fillId="5" borderId="3" xfId="8" applyNumberFormat="1" applyFont="1" applyFill="1" applyBorder="1" applyAlignment="1">
      <alignment horizontal="left" vertical="top" wrapText="1"/>
    </xf>
    <xf numFmtId="165" fontId="915" fillId="5" borderId="3" xfId="8" applyNumberFormat="1" applyFont="1" applyFill="1" applyBorder="1" applyAlignment="1">
      <alignment horizontal="left" vertical="top" wrapText="1"/>
    </xf>
    <xf numFmtId="165" fontId="742" fillId="5" borderId="3" xfId="8" applyNumberFormat="1" applyFont="1" applyFill="1" applyBorder="1" applyAlignment="1">
      <alignment horizontal="left" vertical="top" wrapText="1"/>
    </xf>
    <xf numFmtId="165" fontId="916" fillId="5" borderId="3" xfId="8" applyNumberFormat="1" applyFont="1" applyFill="1" applyBorder="1" applyAlignment="1">
      <alignment horizontal="left" vertical="top" wrapText="1"/>
    </xf>
    <xf numFmtId="165" fontId="743" fillId="5" borderId="3" xfId="8" applyNumberFormat="1" applyFont="1" applyFill="1" applyBorder="1" applyAlignment="1">
      <alignment horizontal="left" vertical="top" wrapText="1"/>
    </xf>
    <xf numFmtId="165" fontId="919" fillId="5" borderId="3" xfId="8" applyNumberFormat="1" applyFont="1" applyFill="1" applyBorder="1" applyAlignment="1">
      <alignment horizontal="left" vertical="top" wrapText="1"/>
    </xf>
    <xf numFmtId="165" fontId="744" fillId="5" borderId="3" xfId="8" applyNumberFormat="1" applyFont="1" applyFill="1" applyBorder="1" applyAlignment="1">
      <alignment horizontal="left" vertical="top" wrapText="1"/>
    </xf>
    <xf numFmtId="165" fontId="1143" fillId="5" borderId="3" xfId="8" applyNumberFormat="1" applyFont="1" applyFill="1" applyBorder="1" applyAlignment="1">
      <alignment horizontal="left" vertical="top" wrapText="1"/>
    </xf>
    <xf numFmtId="165" fontId="1088" fillId="5" borderId="3" xfId="8" applyNumberFormat="1" applyFont="1" applyFill="1" applyBorder="1" applyAlignment="1">
      <alignment horizontal="left" vertical="top" wrapText="1"/>
    </xf>
    <xf numFmtId="165" fontId="1196" fillId="5" borderId="3" xfId="8" applyNumberFormat="1" applyFont="1" applyFill="1" applyBorder="1" applyAlignment="1">
      <alignment horizontal="left" vertical="top" wrapText="1"/>
    </xf>
    <xf numFmtId="165" fontId="1113" fillId="5" borderId="3" xfId="8" applyNumberFormat="1" applyFont="1" applyFill="1" applyBorder="1" applyAlignment="1">
      <alignment horizontal="left" vertical="top" wrapText="1"/>
    </xf>
    <xf numFmtId="165" fontId="1197" fillId="5" borderId="3" xfId="8" applyNumberFormat="1" applyFont="1" applyFill="1" applyBorder="1" applyAlignment="1">
      <alignment horizontal="left" vertical="top" wrapText="1"/>
    </xf>
    <xf numFmtId="165" fontId="1114" fillId="5" borderId="3" xfId="8" applyNumberFormat="1" applyFont="1" applyFill="1" applyBorder="1" applyAlignment="1">
      <alignment horizontal="left" vertical="top" wrapText="1"/>
    </xf>
    <xf numFmtId="165" fontId="1198" fillId="5" borderId="3" xfId="8" applyNumberFormat="1" applyFont="1" applyFill="1" applyBorder="1" applyAlignment="1">
      <alignment horizontal="left" vertical="top" wrapText="1"/>
    </xf>
    <xf numFmtId="165" fontId="1115" fillId="5" borderId="3" xfId="8" applyNumberFormat="1" applyFont="1" applyFill="1" applyBorder="1" applyAlignment="1">
      <alignment horizontal="left" vertical="top" wrapText="1"/>
    </xf>
    <xf numFmtId="165" fontId="1199" fillId="5" borderId="3" xfId="8" applyNumberFormat="1" applyFont="1" applyFill="1" applyBorder="1" applyAlignment="1">
      <alignment horizontal="left" vertical="top" wrapText="1"/>
    </xf>
    <xf numFmtId="165" fontId="1116" fillId="5" borderId="3" xfId="8" applyNumberFormat="1" applyFont="1" applyFill="1" applyBorder="1" applyAlignment="1">
      <alignment horizontal="left" vertical="top" wrapText="1"/>
    </xf>
    <xf numFmtId="165" fontId="1200" fillId="5" borderId="3" xfId="8" applyNumberFormat="1" applyFont="1" applyFill="1" applyBorder="1" applyAlignment="1">
      <alignment horizontal="left" vertical="top" wrapText="1"/>
    </xf>
    <xf numFmtId="165" fontId="1117" fillId="5" borderId="3" xfId="8" applyNumberFormat="1" applyFont="1" applyFill="1" applyBorder="1" applyAlignment="1">
      <alignment horizontal="left" vertical="top" wrapText="1"/>
    </xf>
    <xf numFmtId="165" fontId="1214" fillId="5" borderId="3" xfId="8" applyNumberFormat="1" applyFont="1" applyFill="1" applyBorder="1" applyAlignment="1">
      <alignment horizontal="left" vertical="top" wrapText="1"/>
    </xf>
    <xf numFmtId="165" fontId="1010" fillId="5" borderId="3" xfId="8" applyNumberFormat="1" applyFont="1" applyFill="1" applyBorder="1" applyAlignment="1">
      <alignment horizontal="left" vertical="top" wrapText="1"/>
    </xf>
    <xf numFmtId="165" fontId="1212" fillId="5" borderId="3" xfId="8" applyNumberFormat="1" applyFont="1" applyFill="1" applyBorder="1" applyAlignment="1">
      <alignment horizontal="left" vertical="top" wrapText="1"/>
    </xf>
    <xf numFmtId="165" fontId="1008" fillId="5" borderId="3" xfId="8" applyNumberFormat="1" applyFont="1" applyFill="1" applyBorder="1" applyAlignment="1">
      <alignment horizontal="left" vertical="top" wrapText="1"/>
    </xf>
    <xf numFmtId="165" fontId="1083" fillId="5" borderId="3" xfId="8" applyNumberFormat="1" applyFont="1" applyFill="1" applyBorder="1" applyAlignment="1">
      <alignment horizontal="left" vertical="top" wrapText="1"/>
    </xf>
    <xf numFmtId="165" fontId="1018" fillId="5" borderId="3" xfId="8" applyNumberFormat="1" applyFont="1" applyFill="1" applyBorder="1" applyAlignment="1">
      <alignment horizontal="left" vertical="top" wrapText="1"/>
    </xf>
    <xf numFmtId="165" fontId="1144" fillId="5" borderId="3" xfId="8" applyNumberFormat="1" applyFont="1" applyFill="1" applyBorder="1" applyAlignment="1">
      <alignment horizontal="left" vertical="top" wrapText="1"/>
    </xf>
    <xf numFmtId="165" fontId="1089" fillId="5" borderId="3" xfId="8" applyNumberFormat="1" applyFont="1" applyFill="1" applyBorder="1" applyAlignment="1">
      <alignment horizontal="left" vertical="top" wrapText="1"/>
    </xf>
    <xf numFmtId="165" fontId="1082" fillId="5" borderId="3" xfId="8" applyNumberFormat="1" applyFont="1" applyFill="1" applyBorder="1" applyAlignment="1">
      <alignment horizontal="left" vertical="top" wrapText="1"/>
    </xf>
    <xf numFmtId="165" fontId="1017" fillId="5" borderId="3" xfId="8" applyNumberFormat="1" applyFont="1" applyFill="1" applyBorder="1" applyAlignment="1">
      <alignment horizontal="left" vertical="top" wrapText="1"/>
    </xf>
    <xf numFmtId="165" fontId="1145" fillId="5" borderId="3" xfId="8" applyNumberFormat="1" applyFont="1" applyFill="1" applyBorder="1" applyAlignment="1">
      <alignment horizontal="left" vertical="top" wrapText="1"/>
    </xf>
    <xf numFmtId="165" fontId="1103" fillId="5" borderId="3" xfId="8" applyNumberFormat="1" applyFont="1" applyFill="1" applyBorder="1" applyAlignment="1">
      <alignment horizontal="left" vertical="top" wrapText="1"/>
    </xf>
    <xf numFmtId="165" fontId="1146" fillId="5" borderId="3" xfId="8" applyNumberFormat="1" applyFont="1" applyFill="1" applyBorder="1" applyAlignment="1">
      <alignment horizontal="left" vertical="top" wrapText="1"/>
    </xf>
    <xf numFmtId="165" fontId="1104" fillId="5" borderId="3" xfId="8" applyNumberFormat="1" applyFont="1" applyFill="1" applyBorder="1" applyAlignment="1">
      <alignment horizontal="left" vertical="top" wrapText="1"/>
    </xf>
    <xf numFmtId="165" fontId="1206" fillId="5" borderId="3" xfId="8" applyNumberFormat="1" applyFont="1" applyFill="1" applyBorder="1" applyAlignment="1">
      <alignment horizontal="left" vertical="top" wrapText="1"/>
    </xf>
    <xf numFmtId="165" fontId="1166" fillId="5" borderId="3" xfId="8" applyNumberFormat="1" applyFont="1" applyFill="1" applyBorder="1" applyAlignment="1">
      <alignment horizontal="left" vertical="top" wrapText="1"/>
    </xf>
    <xf numFmtId="165" fontId="1215" fillId="5" borderId="3" xfId="8" applyNumberFormat="1" applyFont="1" applyFill="1" applyBorder="1" applyAlignment="1">
      <alignment horizontal="left" vertical="top" wrapText="1"/>
    </xf>
    <xf numFmtId="165" fontId="1011" fillId="5" borderId="3" xfId="8" applyNumberFormat="1" applyFont="1" applyFill="1" applyBorder="1" applyAlignment="1">
      <alignment horizontal="left" vertical="top" wrapText="1"/>
    </xf>
    <xf numFmtId="165" fontId="1087" fillId="5" borderId="3" xfId="8" applyNumberFormat="1" applyFont="1" applyFill="1" applyBorder="1" applyAlignment="1">
      <alignment horizontal="left" vertical="top" wrapText="1"/>
    </xf>
    <xf numFmtId="165" fontId="1021" fillId="5" borderId="3" xfId="8" applyNumberFormat="1" applyFont="1" applyFill="1" applyBorder="1" applyAlignment="1">
      <alignment horizontal="left" vertical="top" wrapText="1"/>
    </xf>
    <xf numFmtId="165" fontId="1086" fillId="5" borderId="3" xfId="8" applyNumberFormat="1" applyFont="1" applyFill="1" applyBorder="1" applyAlignment="1">
      <alignment horizontal="left" vertical="top" wrapText="1"/>
    </xf>
    <xf numFmtId="165" fontId="1020" fillId="5" borderId="3" xfId="8" applyNumberFormat="1" applyFont="1" applyFill="1" applyBorder="1" applyAlignment="1">
      <alignment horizontal="left" vertical="top" wrapText="1"/>
    </xf>
    <xf numFmtId="165" fontId="1219" fillId="5" borderId="3" xfId="8" applyNumberFormat="1" applyFont="1" applyFill="1" applyBorder="1" applyAlignment="1">
      <alignment horizontal="left" vertical="top" wrapText="1"/>
    </xf>
    <xf numFmtId="165" fontId="1015" fillId="5" borderId="3" xfId="8" applyNumberFormat="1" applyFont="1" applyFill="1" applyBorder="1" applyAlignment="1">
      <alignment horizontal="left" vertical="top" wrapText="1"/>
    </xf>
    <xf numFmtId="165" fontId="1151" fillId="5" borderId="3" xfId="8" applyNumberFormat="1" applyFont="1" applyFill="1" applyBorder="1" applyAlignment="1">
      <alignment horizontal="left" vertical="top" wrapText="1"/>
    </xf>
    <xf numFmtId="165" fontId="1108" fillId="5" borderId="3" xfId="8" applyNumberFormat="1" applyFont="1" applyFill="1" applyBorder="1" applyAlignment="1">
      <alignment horizontal="left" vertical="top" wrapText="1"/>
    </xf>
    <xf numFmtId="165" fontId="1147" fillId="5" borderId="3" xfId="8" applyNumberFormat="1" applyFont="1" applyFill="1" applyBorder="1" applyAlignment="1">
      <alignment horizontal="left" vertical="top" wrapText="1"/>
    </xf>
    <xf numFmtId="165" fontId="1105" fillId="5" borderId="3" xfId="8" applyNumberFormat="1" applyFont="1" applyFill="1" applyBorder="1" applyAlignment="1">
      <alignment horizontal="left" vertical="top" wrapText="1"/>
    </xf>
    <xf numFmtId="165" fontId="1216" fillId="5" borderId="3" xfId="8" applyNumberFormat="1" applyFont="1" applyFill="1" applyBorder="1" applyAlignment="1">
      <alignment horizontal="left" vertical="top" wrapText="1"/>
    </xf>
    <xf numFmtId="165" fontId="1012" fillId="5" borderId="3" xfId="8" applyNumberFormat="1" applyFont="1" applyFill="1" applyBorder="1" applyAlignment="1">
      <alignment horizontal="left" vertical="top" wrapText="1"/>
    </xf>
    <xf numFmtId="165" fontId="1148" fillId="5" borderId="3" xfId="8" applyNumberFormat="1" applyFont="1" applyFill="1" applyBorder="1" applyAlignment="1">
      <alignment horizontal="left" vertical="top" wrapText="1"/>
    </xf>
    <xf numFmtId="165" fontId="1170" fillId="5" borderId="3" xfId="8" applyNumberFormat="1" applyFont="1" applyFill="1" applyBorder="1" applyAlignment="1">
      <alignment horizontal="left" vertical="top" wrapText="1"/>
    </xf>
    <xf numFmtId="165" fontId="1204" fillId="5" borderId="3" xfId="8" applyNumberFormat="1" applyFont="1" applyFill="1" applyBorder="1" applyAlignment="1">
      <alignment horizontal="left" vertical="top" wrapText="1"/>
    </xf>
    <xf numFmtId="165" fontId="1121" fillId="5" borderId="3" xfId="8" applyNumberFormat="1" applyFont="1" applyFill="1" applyBorder="1" applyAlignment="1">
      <alignment horizontal="left" vertical="top" wrapText="1"/>
    </xf>
    <xf numFmtId="165" fontId="1195" fillId="5" borderId="3" xfId="8" applyNumberFormat="1" applyFont="1" applyFill="1" applyBorder="1" applyAlignment="1">
      <alignment horizontal="left" vertical="top" wrapText="1"/>
    </xf>
    <xf numFmtId="165" fontId="1112" fillId="5" borderId="3" xfId="8" applyNumberFormat="1" applyFont="1" applyFill="1" applyBorder="1" applyAlignment="1">
      <alignment horizontal="left" vertical="top" wrapText="1"/>
    </xf>
    <xf numFmtId="165" fontId="1205" fillId="5" borderId="3" xfId="8" applyNumberFormat="1" applyFont="1" applyFill="1" applyBorder="1" applyAlignment="1">
      <alignment horizontal="left" vertical="top" wrapText="1"/>
    </xf>
    <xf numFmtId="165" fontId="1159" fillId="5" borderId="3" xfId="8" applyNumberFormat="1" applyFont="1" applyFill="1" applyBorder="1" applyAlignment="1">
      <alignment horizontal="left" vertical="top" wrapText="1"/>
    </xf>
    <xf numFmtId="165" fontId="1208" fillId="5" borderId="3" xfId="8" applyNumberFormat="1" applyFont="1" applyFill="1" applyBorder="1" applyAlignment="1">
      <alignment horizontal="left" vertical="top" wrapText="1"/>
    </xf>
    <xf numFmtId="165" fontId="1004" fillId="5" borderId="3" xfId="8" applyNumberFormat="1" applyFont="1" applyFill="1" applyBorder="1" applyAlignment="1">
      <alignment horizontal="left" vertical="top" wrapText="1"/>
    </xf>
    <xf numFmtId="165" fontId="1218" fillId="5" borderId="3" xfId="8" applyNumberFormat="1" applyFont="1" applyFill="1" applyBorder="1" applyAlignment="1">
      <alignment horizontal="left" vertical="top" wrapText="1"/>
    </xf>
    <xf numFmtId="165" fontId="1014" fillId="5" borderId="3" xfId="8" applyNumberFormat="1" applyFont="1" applyFill="1" applyBorder="1" applyAlignment="1">
      <alignment horizontal="left" vertical="top" wrapText="1"/>
    </xf>
    <xf numFmtId="165" fontId="1209" fillId="5" borderId="3" xfId="8" applyNumberFormat="1" applyFont="1" applyFill="1" applyBorder="1" applyAlignment="1">
      <alignment horizontal="left" vertical="top" wrapText="1"/>
    </xf>
    <xf numFmtId="165" fontId="1005" fillId="5" borderId="3" xfId="8" applyNumberFormat="1" applyFont="1" applyFill="1" applyBorder="1" applyAlignment="1">
      <alignment horizontal="left" vertical="top" wrapText="1"/>
    </xf>
    <xf numFmtId="165" fontId="1210" fillId="5" borderId="3" xfId="8" applyNumberFormat="1" applyFont="1" applyFill="1" applyBorder="1" applyAlignment="1">
      <alignment horizontal="left" vertical="top" wrapText="1"/>
    </xf>
    <xf numFmtId="165" fontId="1006" fillId="5" borderId="3" xfId="8" applyNumberFormat="1" applyFont="1" applyFill="1" applyBorder="1" applyAlignment="1">
      <alignment horizontal="left" vertical="top" wrapText="1"/>
    </xf>
    <xf numFmtId="165" fontId="1232" fillId="5" borderId="3" xfId="8" applyNumberFormat="1" applyFont="1" applyFill="1" applyBorder="1" applyAlignment="1">
      <alignment horizontal="left" vertical="top" wrapText="1"/>
    </xf>
    <xf numFmtId="165" fontId="1322" fillId="5" borderId="3" xfId="8" applyNumberFormat="1" applyFont="1" applyFill="1" applyBorder="1" applyAlignment="1">
      <alignment horizontal="left" vertical="top" wrapText="1"/>
    </xf>
    <xf numFmtId="165" fontId="1233" fillId="5" borderId="3" xfId="8" applyNumberFormat="1" applyFont="1" applyFill="1" applyBorder="1" applyAlignment="1">
      <alignment horizontal="left" vertical="top" wrapText="1"/>
    </xf>
    <xf numFmtId="165" fontId="1323" fillId="5" borderId="3" xfId="8" applyNumberFormat="1" applyFont="1" applyFill="1" applyBorder="1" applyAlignment="1">
      <alignment horizontal="left" vertical="top" wrapText="1"/>
    </xf>
    <xf numFmtId="165" fontId="1234" fillId="5" borderId="3" xfId="8" applyNumberFormat="1" applyFont="1" applyFill="1" applyBorder="1" applyAlignment="1">
      <alignment horizontal="left" vertical="top" wrapText="1"/>
    </xf>
    <xf numFmtId="165" fontId="1324" fillId="5" borderId="3" xfId="8" applyNumberFormat="1" applyFont="1" applyFill="1" applyBorder="1" applyAlignment="1">
      <alignment horizontal="left" vertical="top" wrapText="1"/>
    </xf>
    <xf numFmtId="165" fontId="1235" fillId="5" borderId="3" xfId="8" applyNumberFormat="1" applyFont="1" applyFill="1" applyBorder="1" applyAlignment="1">
      <alignment horizontal="left" vertical="top" wrapText="1"/>
    </xf>
    <xf numFmtId="165" fontId="1325" fillId="5" borderId="3" xfId="8" applyNumberFormat="1" applyFont="1" applyFill="1" applyBorder="1" applyAlignment="1">
      <alignment horizontal="left" vertical="top" wrapText="1"/>
    </xf>
    <xf numFmtId="165" fontId="1236" fillId="5" borderId="3" xfId="8" applyNumberFormat="1" applyFont="1" applyFill="1" applyBorder="1" applyAlignment="1">
      <alignment horizontal="left" vertical="top" wrapText="1"/>
    </xf>
    <xf numFmtId="165" fontId="1326" fillId="5" borderId="3" xfId="8" applyNumberFormat="1" applyFont="1" applyFill="1" applyBorder="1" applyAlignment="1">
      <alignment horizontal="left" vertical="top" wrapText="1"/>
    </xf>
    <xf numFmtId="165" fontId="1237" fillId="5" borderId="3" xfId="8" applyNumberFormat="1" applyFont="1" applyFill="1" applyBorder="1" applyAlignment="1">
      <alignment horizontal="left" vertical="top" wrapText="1"/>
    </xf>
    <xf numFmtId="165" fontId="1327" fillId="5" borderId="3" xfId="8" applyNumberFormat="1" applyFont="1" applyFill="1" applyBorder="1" applyAlignment="1">
      <alignment horizontal="left" vertical="top" wrapText="1"/>
    </xf>
    <xf numFmtId="165" fontId="1238" fillId="5" borderId="3" xfId="8" applyNumberFormat="1" applyFont="1" applyFill="1" applyBorder="1" applyAlignment="1">
      <alignment horizontal="left" vertical="top" wrapText="1"/>
    </xf>
    <xf numFmtId="165" fontId="1328" fillId="5" borderId="3" xfId="8" applyNumberFormat="1" applyFont="1" applyFill="1" applyBorder="1" applyAlignment="1">
      <alignment horizontal="left" vertical="top" wrapText="1"/>
    </xf>
    <xf numFmtId="165" fontId="1239" fillId="5" borderId="3" xfId="8" applyNumberFormat="1" applyFont="1" applyFill="1" applyBorder="1" applyAlignment="1">
      <alignment horizontal="left" vertical="top" wrapText="1"/>
    </xf>
    <xf numFmtId="165" fontId="1329" fillId="5" borderId="3" xfId="8" applyNumberFormat="1" applyFont="1" applyFill="1" applyBorder="1" applyAlignment="1">
      <alignment horizontal="left" vertical="top" wrapText="1"/>
    </xf>
    <xf numFmtId="165" fontId="1240" fillId="5" borderId="3" xfId="8" applyNumberFormat="1" applyFont="1" applyFill="1" applyBorder="1" applyAlignment="1">
      <alignment horizontal="left" vertical="top" wrapText="1"/>
    </xf>
    <xf numFmtId="165" fontId="1330" fillId="5" borderId="3" xfId="8" applyNumberFormat="1" applyFont="1" applyFill="1" applyBorder="1" applyAlignment="1">
      <alignment horizontal="left" vertical="top" wrapText="1"/>
    </xf>
    <xf numFmtId="165" fontId="1241" fillId="5" borderId="3" xfId="8" applyNumberFormat="1" applyFont="1" applyFill="1" applyBorder="1" applyAlignment="1">
      <alignment horizontal="left" vertical="top" wrapText="1"/>
    </xf>
    <xf numFmtId="165" fontId="1331" fillId="5" borderId="3" xfId="8" applyNumberFormat="1" applyFont="1" applyFill="1" applyBorder="1" applyAlignment="1">
      <alignment horizontal="left" vertical="top" wrapText="1"/>
    </xf>
    <xf numFmtId="165" fontId="1242" fillId="5" borderId="3" xfId="8" applyNumberFormat="1" applyFont="1" applyFill="1" applyBorder="1" applyAlignment="1">
      <alignment horizontal="left" vertical="top" wrapText="1"/>
    </xf>
    <xf numFmtId="165" fontId="1332" fillId="5" borderId="3" xfId="8" applyNumberFormat="1" applyFont="1" applyFill="1" applyBorder="1" applyAlignment="1">
      <alignment horizontal="left" vertical="top" wrapText="1"/>
    </xf>
    <xf numFmtId="165" fontId="1243" fillId="5" borderId="3" xfId="8" applyNumberFormat="1" applyFont="1" applyFill="1" applyBorder="1" applyAlignment="1">
      <alignment horizontal="left" vertical="top" wrapText="1"/>
    </xf>
    <xf numFmtId="165" fontId="1333" fillId="5" borderId="3" xfId="8" applyNumberFormat="1" applyFont="1" applyFill="1" applyBorder="1" applyAlignment="1">
      <alignment horizontal="left" vertical="top" wrapText="1"/>
    </xf>
    <xf numFmtId="165" fontId="1244" fillId="5" borderId="3" xfId="8" applyNumberFormat="1" applyFont="1" applyFill="1" applyBorder="1" applyAlignment="1">
      <alignment horizontal="left" vertical="top" wrapText="1"/>
    </xf>
    <xf numFmtId="165" fontId="1334" fillId="5" borderId="3" xfId="8" applyNumberFormat="1" applyFont="1" applyFill="1" applyBorder="1" applyAlignment="1">
      <alignment horizontal="left" vertical="top" wrapText="1"/>
    </xf>
    <xf numFmtId="165" fontId="1227" fillId="5" borderId="3" xfId="8" applyNumberFormat="1" applyFont="1" applyFill="1" applyBorder="1" applyAlignment="1">
      <alignment vertical="top"/>
    </xf>
    <xf numFmtId="165" fontId="1228" fillId="5" borderId="3" xfId="8" applyNumberFormat="1" applyFont="1" applyFill="1" applyBorder="1" applyAlignment="1">
      <alignment vertical="top"/>
    </xf>
    <xf numFmtId="165" fontId="1245" fillId="5" borderId="3" xfId="8" applyNumberFormat="1" applyFont="1" applyFill="1" applyBorder="1" applyAlignment="1">
      <alignment horizontal="left" vertical="top" wrapText="1"/>
    </xf>
    <xf numFmtId="165" fontId="1335" fillId="5" borderId="3" xfId="8" applyNumberFormat="1" applyFont="1" applyFill="1" applyBorder="1" applyAlignment="1">
      <alignment horizontal="left" vertical="top" wrapText="1"/>
    </xf>
    <xf numFmtId="165" fontId="1246" fillId="5" borderId="3" xfId="8" applyNumberFormat="1" applyFont="1" applyFill="1" applyBorder="1" applyAlignment="1">
      <alignment horizontal="left" vertical="top" wrapText="1"/>
    </xf>
    <xf numFmtId="165" fontId="1336" fillId="5" borderId="3" xfId="8" applyNumberFormat="1" applyFont="1" applyFill="1" applyBorder="1" applyAlignment="1">
      <alignment horizontal="left" vertical="top" wrapText="1"/>
    </xf>
    <xf numFmtId="165" fontId="1311" fillId="5" borderId="3" xfId="8" applyNumberFormat="1" applyFont="1" applyFill="1" applyBorder="1" applyAlignment="1">
      <alignment horizontal="left" vertical="top" wrapText="1"/>
    </xf>
    <xf numFmtId="165" fontId="1337" fillId="5" borderId="3" xfId="8" applyNumberFormat="1" applyFont="1" applyFill="1" applyBorder="1" applyAlignment="1">
      <alignment horizontal="left" vertical="top" wrapText="1"/>
    </xf>
    <xf numFmtId="165" fontId="1313" fillId="5" borderId="3" xfId="8" applyNumberFormat="1" applyFont="1" applyFill="1" applyBorder="1" applyAlignment="1">
      <alignment horizontal="left" vertical="top" wrapText="1"/>
    </xf>
    <xf numFmtId="165" fontId="1339" fillId="5" borderId="3" xfId="8" applyNumberFormat="1" applyFont="1" applyFill="1" applyBorder="1" applyAlignment="1">
      <alignment horizontal="left" vertical="top" wrapText="1"/>
    </xf>
    <xf numFmtId="165" fontId="1314" fillId="5" borderId="3" xfId="8" applyNumberFormat="1" applyFont="1" applyFill="1" applyBorder="1" applyAlignment="1">
      <alignment horizontal="left" vertical="top" wrapText="1"/>
    </xf>
    <xf numFmtId="165" fontId="1340" fillId="5" borderId="3" xfId="8" applyNumberFormat="1" applyFont="1" applyFill="1" applyBorder="1" applyAlignment="1">
      <alignment horizontal="left" vertical="top" wrapText="1"/>
    </xf>
    <xf numFmtId="165" fontId="1315" fillId="5" borderId="3" xfId="8" applyNumberFormat="1" applyFont="1" applyFill="1" applyBorder="1" applyAlignment="1">
      <alignment horizontal="left" vertical="top" wrapText="1"/>
    </xf>
    <xf numFmtId="165" fontId="1341" fillId="5" borderId="3" xfId="8" applyNumberFormat="1" applyFont="1" applyFill="1" applyBorder="1" applyAlignment="1">
      <alignment horizontal="left" vertical="top" wrapText="1"/>
    </xf>
    <xf numFmtId="165" fontId="1316" fillId="5" borderId="3" xfId="8" applyNumberFormat="1" applyFont="1" applyFill="1" applyBorder="1" applyAlignment="1">
      <alignment horizontal="left" vertical="top" wrapText="1"/>
    </xf>
    <xf numFmtId="165" fontId="1342" fillId="5" borderId="3" xfId="8" applyNumberFormat="1" applyFont="1" applyFill="1" applyBorder="1" applyAlignment="1">
      <alignment horizontal="left" vertical="top" wrapText="1"/>
    </xf>
    <xf numFmtId="165" fontId="1317" fillId="5" borderId="3" xfId="8" applyNumberFormat="1" applyFont="1" applyFill="1" applyBorder="1" applyAlignment="1">
      <alignment horizontal="left" vertical="top" wrapText="1"/>
    </xf>
    <xf numFmtId="165" fontId="1343" fillId="5" borderId="3" xfId="8" applyNumberFormat="1" applyFont="1" applyFill="1" applyBorder="1" applyAlignment="1">
      <alignment horizontal="left" vertical="top" wrapText="1"/>
    </xf>
    <xf numFmtId="165" fontId="1318" fillId="5" borderId="3" xfId="8" applyNumberFormat="1" applyFont="1" applyFill="1" applyBorder="1" applyAlignment="1">
      <alignment horizontal="left" vertical="top" wrapText="1"/>
    </xf>
    <xf numFmtId="165" fontId="1344" fillId="5" borderId="3" xfId="8" applyNumberFormat="1" applyFont="1" applyFill="1" applyBorder="1" applyAlignment="1">
      <alignment horizontal="left" vertical="top" wrapText="1"/>
    </xf>
    <xf numFmtId="165" fontId="1353" fillId="5" borderId="3" xfId="8" applyNumberFormat="1" applyFont="1" applyFill="1" applyBorder="1" applyAlignment="1">
      <alignment horizontal="left" vertical="top" wrapText="1"/>
    </xf>
    <xf numFmtId="165" fontId="1373" fillId="5" borderId="3" xfId="8" applyNumberFormat="1" applyFont="1" applyFill="1" applyBorder="1" applyAlignment="1">
      <alignment horizontal="left" vertical="top" wrapText="1"/>
    </xf>
    <xf numFmtId="165" fontId="1354" fillId="5" borderId="3" xfId="8" applyNumberFormat="1" applyFont="1" applyFill="1" applyBorder="1" applyAlignment="1">
      <alignment horizontal="left" vertical="top" wrapText="1"/>
    </xf>
    <xf numFmtId="165" fontId="1374" fillId="5" borderId="3" xfId="8" applyNumberFormat="1" applyFont="1" applyFill="1" applyBorder="1" applyAlignment="1">
      <alignment horizontal="left" vertical="top" wrapText="1"/>
    </xf>
    <xf numFmtId="165" fontId="1355" fillId="5" borderId="3" xfId="8" applyNumberFormat="1" applyFont="1" applyFill="1" applyBorder="1" applyAlignment="1">
      <alignment horizontal="left" vertical="top" wrapText="1"/>
    </xf>
    <xf numFmtId="165" fontId="1375" fillId="5" borderId="3" xfId="8" applyNumberFormat="1" applyFont="1" applyFill="1" applyBorder="1" applyAlignment="1">
      <alignment horizontal="left" vertical="top" wrapText="1"/>
    </xf>
    <xf numFmtId="165" fontId="1981" fillId="5" borderId="3" xfId="8" applyNumberFormat="1" applyFont="1" applyFill="1" applyBorder="1" applyAlignment="1">
      <alignment horizontal="left" vertical="top" wrapText="1"/>
    </xf>
    <xf numFmtId="165" fontId="1986" fillId="5" borderId="3" xfId="8" applyNumberFormat="1" applyFont="1" applyFill="1" applyBorder="1" applyAlignment="1">
      <alignment horizontal="left" vertical="top" wrapText="1"/>
    </xf>
    <xf numFmtId="165" fontId="2018" fillId="5" borderId="3" xfId="8" applyNumberFormat="1" applyFont="1" applyFill="1" applyBorder="1" applyAlignment="1">
      <alignment horizontal="left" vertical="top" wrapText="1"/>
    </xf>
    <xf numFmtId="165" fontId="2095" fillId="5" borderId="3" xfId="8" applyNumberFormat="1" applyFont="1" applyFill="1" applyBorder="1" applyAlignment="1">
      <alignment horizontal="left" vertical="top" wrapText="1"/>
    </xf>
    <xf numFmtId="165" fontId="2072" fillId="5" borderId="3" xfId="8" applyNumberFormat="1" applyFont="1" applyFill="1" applyBorder="1" applyAlignment="1">
      <alignment horizontal="left" vertical="top" wrapText="1"/>
    </xf>
    <xf numFmtId="165" fontId="2179" fillId="5" borderId="3" xfId="8" applyNumberFormat="1" applyFont="1" applyFill="1" applyBorder="1" applyAlignment="1">
      <alignment horizontal="left" vertical="top" wrapText="1"/>
    </xf>
    <xf numFmtId="165" fontId="2045" fillId="5" borderId="3" xfId="8" applyNumberFormat="1" applyFont="1" applyFill="1" applyBorder="1" applyAlignment="1">
      <alignment horizontal="left" vertical="top" wrapText="1"/>
    </xf>
    <xf numFmtId="165" fontId="2132" fillId="5" borderId="3" xfId="8" applyNumberFormat="1" applyFont="1" applyFill="1" applyBorder="1" applyAlignment="1">
      <alignment horizontal="left" vertical="top" wrapText="1"/>
    </xf>
    <xf numFmtId="165" fontId="1982" fillId="5" borderId="3" xfId="8" applyNumberFormat="1" applyFont="1" applyFill="1" applyBorder="1" applyAlignment="1">
      <alignment horizontal="left" vertical="top" wrapText="1"/>
    </xf>
    <xf numFmtId="165" fontId="1988" fillId="5" borderId="3" xfId="8" applyNumberFormat="1" applyFont="1" applyFill="1" applyBorder="1" applyAlignment="1">
      <alignment horizontal="left" vertical="top" wrapText="1"/>
    </xf>
    <xf numFmtId="165" fontId="2019" fillId="5" borderId="3" xfId="8" applyNumberFormat="1" applyFont="1" applyFill="1" applyBorder="1" applyAlignment="1">
      <alignment horizontal="left" vertical="top" wrapText="1"/>
    </xf>
    <xf numFmtId="165" fontId="2115" fillId="5" borderId="3" xfId="8" applyNumberFormat="1" applyFont="1" applyFill="1" applyBorder="1" applyAlignment="1">
      <alignment horizontal="left" vertical="top" wrapText="1"/>
    </xf>
    <xf numFmtId="165" fontId="2073" fillId="5" borderId="3" xfId="8" applyNumberFormat="1" applyFont="1" applyFill="1" applyBorder="1" applyAlignment="1">
      <alignment horizontal="left" vertical="top" wrapText="1"/>
    </xf>
    <xf numFmtId="165" fontId="2180" fillId="5" borderId="3" xfId="8" applyNumberFormat="1" applyFont="1" applyFill="1" applyBorder="1" applyAlignment="1">
      <alignment horizontal="left" vertical="top" wrapText="1"/>
    </xf>
    <xf numFmtId="165" fontId="2046" fillId="5" borderId="3" xfId="8" applyNumberFormat="1" applyFont="1" applyFill="1" applyBorder="1" applyAlignment="1">
      <alignment horizontal="left" vertical="top" wrapText="1"/>
    </xf>
    <xf numFmtId="165" fontId="2133" fillId="5" borderId="3" xfId="8" applyNumberFormat="1" applyFont="1" applyFill="1" applyBorder="1" applyAlignment="1">
      <alignment horizontal="left" vertical="top" wrapText="1"/>
    </xf>
    <xf numFmtId="165" fontId="1983" fillId="5" borderId="3" xfId="8" applyNumberFormat="1" applyFont="1" applyFill="1" applyBorder="1" applyAlignment="1">
      <alignment horizontal="left" vertical="top" wrapText="1"/>
    </xf>
    <xf numFmtId="165" fontId="1989" fillId="5" borderId="3" xfId="8" applyNumberFormat="1" applyFont="1" applyFill="1" applyBorder="1" applyAlignment="1">
      <alignment horizontal="left" vertical="top" wrapText="1"/>
    </xf>
    <xf numFmtId="165" fontId="2020" fillId="5" borderId="3" xfId="8" applyNumberFormat="1" applyFont="1" applyFill="1" applyBorder="1" applyAlignment="1">
      <alignment horizontal="left" vertical="top" wrapText="1"/>
    </xf>
    <xf numFmtId="165" fontId="2116" fillId="5" borderId="3" xfId="8" applyNumberFormat="1" applyFont="1" applyFill="1" applyBorder="1" applyAlignment="1">
      <alignment horizontal="left" vertical="top" wrapText="1"/>
    </xf>
    <xf numFmtId="165" fontId="2074" fillId="5" borderId="3" xfId="8" applyNumberFormat="1" applyFont="1" applyFill="1" applyBorder="1" applyAlignment="1">
      <alignment horizontal="left" vertical="top" wrapText="1"/>
    </xf>
    <xf numFmtId="165" fontId="2181" fillId="5" borderId="3" xfId="8" applyNumberFormat="1" applyFont="1" applyFill="1" applyBorder="1" applyAlignment="1">
      <alignment horizontal="left" vertical="top" wrapText="1"/>
    </xf>
    <xf numFmtId="165" fontId="2047" fillId="5" borderId="3" xfId="8" applyNumberFormat="1" applyFont="1" applyFill="1" applyBorder="1" applyAlignment="1">
      <alignment horizontal="left" vertical="top" wrapText="1"/>
    </xf>
    <xf numFmtId="165" fontId="2134" fillId="5" borderId="3" xfId="8" applyNumberFormat="1" applyFont="1" applyFill="1" applyBorder="1" applyAlignment="1">
      <alignment horizontal="left" vertical="top" wrapText="1"/>
    </xf>
    <xf numFmtId="165" fontId="1984" fillId="5" borderId="3" xfId="8" applyNumberFormat="1" applyFont="1" applyFill="1" applyBorder="1" applyAlignment="1">
      <alignment horizontal="left" vertical="top" wrapText="1"/>
    </xf>
    <xf numFmtId="165" fontId="1990" fillId="5" borderId="3" xfId="8" applyNumberFormat="1" applyFont="1" applyFill="1" applyBorder="1" applyAlignment="1">
      <alignment horizontal="left" vertical="top" wrapText="1"/>
    </xf>
    <xf numFmtId="165" fontId="2021" fillId="5" borderId="3" xfId="8" applyNumberFormat="1" applyFont="1" applyFill="1" applyBorder="1" applyAlignment="1">
      <alignment horizontal="left" vertical="top" wrapText="1"/>
    </xf>
    <xf numFmtId="165" fontId="2125" fillId="5" borderId="3" xfId="8" applyNumberFormat="1" applyFont="1" applyFill="1" applyBorder="1" applyAlignment="1">
      <alignment horizontal="left" vertical="top" wrapText="1"/>
    </xf>
    <xf numFmtId="165" fontId="2077" fillId="5" borderId="3" xfId="8" applyNumberFormat="1" applyFont="1" applyFill="1" applyBorder="1" applyAlignment="1">
      <alignment horizontal="left" vertical="top" wrapText="1"/>
    </xf>
    <xf numFmtId="165" fontId="2182" fillId="5" borderId="3" xfId="8" applyNumberFormat="1" applyFont="1" applyFill="1" applyBorder="1" applyAlignment="1">
      <alignment horizontal="left" vertical="top" wrapText="1"/>
    </xf>
    <xf numFmtId="165" fontId="2048" fillId="5" borderId="3" xfId="8" applyNumberFormat="1" applyFont="1" applyFill="1" applyBorder="1" applyAlignment="1">
      <alignment horizontal="left" vertical="top" wrapText="1"/>
    </xf>
    <xf numFmtId="165" fontId="2135" fillId="5" borderId="3" xfId="8" applyNumberFormat="1" applyFont="1" applyFill="1" applyBorder="1" applyAlignment="1">
      <alignment horizontal="left" vertical="top" wrapText="1"/>
    </xf>
    <xf numFmtId="165" fontId="2100" fillId="5" borderId="3" xfId="8" applyNumberFormat="1" applyFont="1" applyFill="1" applyBorder="1" applyAlignment="1">
      <alignment horizontal="left" vertical="top" wrapText="1"/>
    </xf>
    <xf numFmtId="165" fontId="1991" fillId="5" borderId="3" xfId="8" applyNumberFormat="1" applyFont="1" applyFill="1" applyBorder="1" applyAlignment="1">
      <alignment horizontal="left" vertical="top" wrapText="1"/>
    </xf>
    <xf numFmtId="165" fontId="2025" fillId="5" borderId="3" xfId="8" applyNumberFormat="1" applyFont="1" applyFill="1" applyBorder="1" applyAlignment="1">
      <alignment horizontal="left" vertical="top" wrapText="1"/>
    </xf>
    <xf numFmtId="165" fontId="1999" fillId="5" borderId="3" xfId="8" applyNumberFormat="1" applyFont="1" applyFill="1" applyBorder="1" applyAlignment="1">
      <alignment horizontal="left" vertical="top" wrapText="1"/>
    </xf>
    <xf numFmtId="165" fontId="2078" fillId="5" borderId="3" xfId="8" applyNumberFormat="1" applyFont="1" applyFill="1" applyBorder="1" applyAlignment="1">
      <alignment horizontal="left" vertical="top" wrapText="1"/>
    </xf>
    <xf numFmtId="165" fontId="2183" fillId="5" borderId="3" xfId="8" applyNumberFormat="1" applyFont="1" applyFill="1" applyBorder="1" applyAlignment="1">
      <alignment horizontal="left" vertical="top" wrapText="1"/>
    </xf>
    <xf numFmtId="165" fontId="2049" fillId="5" borderId="3" xfId="8" applyNumberFormat="1" applyFont="1" applyFill="1" applyBorder="1" applyAlignment="1">
      <alignment horizontal="left" vertical="top" wrapText="1"/>
    </xf>
    <xf numFmtId="165" fontId="2136" fillId="5" borderId="3" xfId="8" applyNumberFormat="1" applyFont="1" applyFill="1" applyBorder="1" applyAlignment="1">
      <alignment horizontal="left" vertical="top" wrapText="1"/>
    </xf>
    <xf numFmtId="165" fontId="2101" fillId="5" borderId="3" xfId="8" applyNumberFormat="1" applyFont="1" applyFill="1" applyBorder="1" applyAlignment="1">
      <alignment horizontal="left" vertical="top" wrapText="1"/>
    </xf>
    <xf numFmtId="165" fontId="1992" fillId="5" borderId="3" xfId="8" applyNumberFormat="1" applyFont="1" applyFill="1" applyBorder="1" applyAlignment="1">
      <alignment horizontal="left" vertical="top" wrapText="1"/>
    </xf>
    <xf numFmtId="165" fontId="2121" fillId="5" borderId="3" xfId="8" applyNumberFormat="1" applyFont="1" applyFill="1" applyBorder="1" applyAlignment="1">
      <alignment horizontal="left" vertical="top" wrapText="1"/>
    </xf>
    <xf numFmtId="165" fontId="2000" fillId="5" borderId="3" xfId="8" applyNumberFormat="1" applyFont="1" applyFill="1" applyBorder="1" applyAlignment="1">
      <alignment horizontal="left" vertical="top" wrapText="1"/>
    </xf>
    <xf numFmtId="165" fontId="2079" fillId="5" borderId="3" xfId="8" applyNumberFormat="1" applyFont="1" applyFill="1" applyBorder="1" applyAlignment="1">
      <alignment horizontal="left" vertical="top" wrapText="1"/>
    </xf>
    <xf numFmtId="165" fontId="2184" fillId="5" borderId="3" xfId="8" applyNumberFormat="1" applyFont="1" applyFill="1" applyBorder="1" applyAlignment="1">
      <alignment horizontal="left" vertical="top" wrapText="1"/>
    </xf>
    <xf numFmtId="165" fontId="2050" fillId="5" borderId="3" xfId="8" applyNumberFormat="1" applyFont="1" applyFill="1" applyBorder="1" applyAlignment="1">
      <alignment horizontal="left" vertical="top" wrapText="1"/>
    </xf>
    <xf numFmtId="165" fontId="2137" fillId="5" borderId="3" xfId="8" applyNumberFormat="1" applyFont="1" applyFill="1" applyBorder="1" applyAlignment="1">
      <alignment horizontal="left" vertical="top" wrapText="1"/>
    </xf>
    <xf numFmtId="165" fontId="2102" fillId="5" borderId="3" xfId="8" applyNumberFormat="1" applyFont="1" applyFill="1" applyBorder="1" applyAlignment="1">
      <alignment horizontal="left" vertical="top" wrapText="1"/>
    </xf>
    <xf numFmtId="165" fontId="1993" fillId="5" borderId="3" xfId="8" applyNumberFormat="1" applyFont="1" applyFill="1" applyBorder="1" applyAlignment="1">
      <alignment horizontal="left" vertical="top" wrapText="1"/>
    </xf>
    <xf numFmtId="165" fontId="2122" fillId="5" borderId="3" xfId="8" applyNumberFormat="1" applyFont="1" applyFill="1" applyBorder="1" applyAlignment="1">
      <alignment horizontal="left" vertical="top" wrapText="1"/>
    </xf>
    <xf numFmtId="165" fontId="2001" fillId="5" borderId="3" xfId="8" applyNumberFormat="1" applyFont="1" applyFill="1" applyBorder="1" applyAlignment="1">
      <alignment horizontal="left" vertical="top" wrapText="1"/>
    </xf>
    <xf numFmtId="165" fontId="2080" fillId="5" borderId="3" xfId="8" applyNumberFormat="1" applyFont="1" applyFill="1" applyBorder="1" applyAlignment="1">
      <alignment horizontal="left" vertical="top" wrapText="1"/>
    </xf>
    <xf numFmtId="165" fontId="2139" fillId="5" borderId="3" xfId="8" applyNumberFormat="1" applyFont="1" applyFill="1" applyBorder="1" applyAlignment="1">
      <alignment horizontal="left" vertical="top" wrapText="1"/>
    </xf>
    <xf numFmtId="165" fontId="2051" fillId="5" borderId="3" xfId="8" applyNumberFormat="1" applyFont="1" applyFill="1" applyBorder="1" applyAlignment="1">
      <alignment horizontal="left" vertical="top" wrapText="1"/>
    </xf>
    <xf numFmtId="165" fontId="2138" fillId="5" borderId="3" xfId="8" applyNumberFormat="1" applyFont="1" applyFill="1" applyBorder="1" applyAlignment="1">
      <alignment horizontal="left" vertical="top" wrapText="1"/>
    </xf>
    <xf numFmtId="165" fontId="2103" fillId="5" borderId="3" xfId="8" applyNumberFormat="1" applyFont="1" applyFill="1" applyBorder="1" applyAlignment="1">
      <alignment horizontal="left" vertical="top" wrapText="1"/>
    </xf>
    <xf numFmtId="165" fontId="1994" fillId="5" borderId="3" xfId="8" applyNumberFormat="1" applyFont="1" applyFill="1" applyBorder="1" applyAlignment="1">
      <alignment horizontal="left" vertical="top" wrapText="1"/>
    </xf>
    <xf numFmtId="165" fontId="2123" fillId="5" borderId="3" xfId="8" applyNumberFormat="1" applyFont="1" applyFill="1" applyBorder="1" applyAlignment="1">
      <alignment horizontal="left" vertical="top" wrapText="1"/>
    </xf>
    <xf numFmtId="165" fontId="2002" fillId="5" borderId="3" xfId="8" applyNumberFormat="1" applyFont="1" applyFill="1" applyBorder="1" applyAlignment="1">
      <alignment horizontal="left" vertical="top" wrapText="1"/>
    </xf>
    <xf numFmtId="165" fontId="2081" fillId="5" borderId="3" xfId="8" applyNumberFormat="1" applyFont="1" applyFill="1" applyBorder="1" applyAlignment="1">
      <alignment horizontal="left" vertical="top" wrapText="1"/>
    </xf>
    <xf numFmtId="165" fontId="2140" fillId="5" borderId="3" xfId="8" applyNumberFormat="1" applyFont="1" applyFill="1" applyBorder="1" applyAlignment="1">
      <alignment horizontal="left" vertical="top" wrapText="1"/>
    </xf>
    <xf numFmtId="165" fontId="2052" fillId="5" borderId="3" xfId="8" applyNumberFormat="1" applyFont="1" applyFill="1" applyBorder="1" applyAlignment="1">
      <alignment horizontal="left" vertical="top" wrapText="1"/>
    </xf>
    <xf numFmtId="165" fontId="2026" fillId="5" borderId="3" xfId="8" applyNumberFormat="1" applyFont="1" applyFill="1" applyBorder="1" applyAlignment="1">
      <alignment horizontal="left" vertical="top" wrapText="1"/>
    </xf>
    <xf numFmtId="165" fontId="2104" fillId="5" borderId="3" xfId="8" applyNumberFormat="1" applyFont="1" applyFill="1" applyBorder="1" applyAlignment="1">
      <alignment horizontal="left" vertical="top" wrapText="1"/>
    </xf>
    <xf numFmtId="165" fontId="1995" fillId="5" borderId="3" xfId="8" applyNumberFormat="1" applyFont="1" applyFill="1" applyBorder="1" applyAlignment="1">
      <alignment horizontal="left" vertical="top" wrapText="1"/>
    </xf>
    <xf numFmtId="165" fontId="2193" fillId="5" borderId="3" xfId="8" applyNumberFormat="1" applyFont="1" applyFill="1" applyBorder="1" applyAlignment="1">
      <alignment horizontal="left" vertical="top" wrapText="1"/>
    </xf>
    <xf numFmtId="165" fontId="2003" fillId="5" borderId="3" xfId="8" applyNumberFormat="1" applyFont="1" applyFill="1" applyBorder="1" applyAlignment="1">
      <alignment horizontal="left" vertical="top" wrapText="1"/>
    </xf>
    <xf numFmtId="165" fontId="2082" fillId="5" borderId="3" xfId="8" applyNumberFormat="1" applyFont="1" applyFill="1" applyBorder="1" applyAlignment="1">
      <alignment horizontal="left" vertical="top" wrapText="1"/>
    </xf>
    <xf numFmtId="165" fontId="2141" fillId="5" borderId="3" xfId="8" applyNumberFormat="1" applyFont="1" applyFill="1" applyBorder="1" applyAlignment="1">
      <alignment horizontal="left" vertical="top" wrapText="1"/>
    </xf>
    <xf numFmtId="165" fontId="2053" fillId="5" borderId="3" xfId="8" applyNumberFormat="1" applyFont="1" applyFill="1" applyBorder="1" applyAlignment="1">
      <alignment horizontal="left" vertical="top" wrapText="1"/>
    </xf>
    <xf numFmtId="165" fontId="2090" fillId="5" borderId="3" xfId="8" applyNumberFormat="1" applyFont="1" applyFill="1" applyBorder="1" applyAlignment="1">
      <alignment horizontal="left" vertical="top" wrapText="1"/>
    </xf>
    <xf numFmtId="165" fontId="2105" fillId="5" borderId="3" xfId="8" applyNumberFormat="1" applyFont="1" applyFill="1" applyBorder="1" applyAlignment="1">
      <alignment horizontal="left" vertical="top" wrapText="1"/>
    </xf>
    <xf numFmtId="165" fontId="1996" fillId="5" borderId="3" xfId="8" applyNumberFormat="1" applyFont="1" applyFill="1" applyBorder="1" applyAlignment="1">
      <alignment horizontal="left" vertical="top" wrapText="1"/>
    </xf>
    <xf numFmtId="165" fontId="2194" fillId="5" borderId="3" xfId="8" applyNumberFormat="1" applyFont="1" applyFill="1" applyBorder="1" applyAlignment="1">
      <alignment horizontal="left" vertical="top" wrapText="1"/>
    </xf>
    <xf numFmtId="165" fontId="2004" fillId="5" borderId="3" xfId="8" applyNumberFormat="1" applyFont="1" applyFill="1" applyBorder="1" applyAlignment="1">
      <alignment horizontal="left" vertical="top" wrapText="1"/>
    </xf>
    <xf numFmtId="165" fontId="2083" fillId="5" borderId="3" xfId="8" applyNumberFormat="1" applyFont="1" applyFill="1" applyBorder="1" applyAlignment="1">
      <alignment horizontal="left" vertical="top" wrapText="1"/>
    </xf>
    <xf numFmtId="165" fontId="2142" fillId="5" borderId="3" xfId="8" applyNumberFormat="1" applyFont="1" applyFill="1" applyBorder="1" applyAlignment="1">
      <alignment horizontal="left" vertical="top" wrapText="1"/>
    </xf>
    <xf numFmtId="165" fontId="2054" fillId="5" borderId="3" xfId="8" applyNumberFormat="1" applyFont="1" applyFill="1" applyBorder="1" applyAlignment="1">
      <alignment horizontal="left" vertical="top" wrapText="1"/>
    </xf>
    <xf numFmtId="165" fontId="2091" fillId="5" borderId="3" xfId="8" applyNumberFormat="1" applyFont="1" applyFill="1" applyBorder="1" applyAlignment="1">
      <alignment horizontal="left" vertical="top" wrapText="1"/>
    </xf>
    <xf numFmtId="165" fontId="2124" fillId="5" borderId="3" xfId="8" applyNumberFormat="1" applyFont="1" applyFill="1" applyBorder="1" applyAlignment="1">
      <alignment horizontal="left" vertical="top" wrapText="1"/>
    </xf>
    <xf numFmtId="165" fontId="1997" fillId="5" borderId="3" xfId="8" applyNumberFormat="1" applyFont="1" applyFill="1" applyBorder="1" applyAlignment="1">
      <alignment horizontal="left" vertical="top" wrapText="1"/>
    </xf>
    <xf numFmtId="165" fontId="2195" fillId="5" borderId="3" xfId="8" applyNumberFormat="1" applyFont="1" applyFill="1" applyBorder="1" applyAlignment="1">
      <alignment horizontal="left" vertical="top" wrapText="1"/>
    </xf>
    <xf numFmtId="165" fontId="2005" fillId="5" borderId="3" xfId="8" applyNumberFormat="1" applyFont="1" applyFill="1" applyBorder="1" applyAlignment="1">
      <alignment horizontal="left" vertical="top" wrapText="1"/>
    </xf>
    <xf numFmtId="165" fontId="2089" fillId="5" borderId="3" xfId="8" applyNumberFormat="1" applyFont="1" applyFill="1" applyBorder="1" applyAlignment="1">
      <alignment horizontal="left" vertical="top" wrapText="1"/>
    </xf>
    <xf numFmtId="165" fontId="2143" fillId="5" borderId="3" xfId="8" applyNumberFormat="1" applyFont="1" applyFill="1" applyBorder="1" applyAlignment="1">
      <alignment horizontal="left" vertical="top" wrapText="1"/>
    </xf>
    <xf numFmtId="165" fontId="2055" fillId="5" borderId="3" xfId="8" applyNumberFormat="1" applyFont="1" applyFill="1" applyBorder="1" applyAlignment="1">
      <alignment horizontal="left" vertical="top" wrapText="1"/>
    </xf>
    <xf numFmtId="165" fontId="2092" fillId="5" borderId="3" xfId="8" applyNumberFormat="1" applyFont="1" applyFill="1" applyBorder="1" applyAlignment="1">
      <alignment horizontal="left" vertical="top" wrapText="1"/>
    </xf>
    <xf numFmtId="165" fontId="2061" fillId="5" borderId="3" xfId="8" applyNumberFormat="1" applyFont="1" applyFill="1" applyBorder="1" applyAlignment="1">
      <alignment horizontal="left" vertical="top" wrapText="1"/>
    </xf>
    <xf numFmtId="165" fontId="1998" fillId="5" borderId="3" xfId="8" applyNumberFormat="1" applyFont="1" applyFill="1" applyBorder="1" applyAlignment="1">
      <alignment horizontal="left" vertical="top" wrapText="1"/>
    </xf>
    <xf numFmtId="165" fontId="2196" fillId="5" borderId="3" xfId="8" applyNumberFormat="1" applyFont="1" applyFill="1" applyBorder="1" applyAlignment="1">
      <alignment horizontal="left" vertical="top" wrapText="1"/>
    </xf>
    <xf numFmtId="165" fontId="2006" fillId="5" borderId="3" xfId="8" applyNumberFormat="1" applyFont="1" applyFill="1" applyBorder="1" applyAlignment="1">
      <alignment horizontal="left" vertical="top" wrapText="1"/>
    </xf>
    <xf numFmtId="165" fontId="2168" fillId="5" borderId="3" xfId="8" applyNumberFormat="1" applyFont="1" applyFill="1" applyBorder="1" applyAlignment="1">
      <alignment horizontal="left" vertical="top" wrapText="1"/>
    </xf>
    <xf numFmtId="165" fontId="2144" fillId="5" borderId="3" xfId="8" applyNumberFormat="1" applyFont="1" applyFill="1" applyBorder="1" applyAlignment="1">
      <alignment horizontal="left" vertical="top" wrapText="1"/>
    </xf>
    <xf numFmtId="165" fontId="2056" fillId="5" borderId="3" xfId="8" applyNumberFormat="1" applyFont="1" applyFill="1" applyBorder="1" applyAlignment="1">
      <alignment horizontal="left" vertical="top" wrapText="1"/>
    </xf>
    <xf numFmtId="165" fontId="1987" fillId="5" borderId="3" xfId="8" applyNumberFormat="1" applyFont="1" applyFill="1" applyBorder="1" applyAlignment="1">
      <alignment horizontal="left" vertical="top" wrapText="1"/>
    </xf>
    <xf numFmtId="165" fontId="2062" fillId="5" borderId="3" xfId="8" applyNumberFormat="1" applyFont="1" applyFill="1" applyBorder="1" applyAlignment="1">
      <alignment horizontal="left" vertical="top" wrapText="1"/>
    </xf>
    <xf numFmtId="165" fontId="2008" fillId="5" borderId="3" xfId="8" applyNumberFormat="1" applyFont="1" applyFill="1" applyBorder="1" applyAlignment="1">
      <alignment horizontal="left" vertical="top" wrapText="1"/>
    </xf>
    <xf numFmtId="165" fontId="2197" fillId="5" borderId="3" xfId="8" applyNumberFormat="1" applyFont="1" applyFill="1" applyBorder="1" applyAlignment="1">
      <alignment horizontal="left" vertical="top" wrapText="1"/>
    </xf>
    <xf numFmtId="165" fontId="2007" fillId="5" borderId="3" xfId="8" applyNumberFormat="1" applyFont="1" applyFill="1" applyBorder="1" applyAlignment="1">
      <alignment horizontal="left" vertical="top" wrapText="1"/>
    </xf>
    <xf numFmtId="165" fontId="2169" fillId="5" borderId="3" xfId="8" applyNumberFormat="1" applyFont="1" applyFill="1" applyBorder="1" applyAlignment="1">
      <alignment horizontal="left" vertical="top" wrapText="1"/>
    </xf>
    <xf numFmtId="165" fontId="2145" fillId="5" borderId="3" xfId="8" applyNumberFormat="1" applyFont="1" applyFill="1" applyBorder="1" applyAlignment="1">
      <alignment horizontal="left" vertical="top" wrapText="1"/>
    </xf>
    <xf numFmtId="165" fontId="2057" fillId="5" borderId="3" xfId="8" applyNumberFormat="1" applyFont="1" applyFill="1" applyBorder="1" applyAlignment="1">
      <alignment horizontal="left" vertical="top" wrapText="1"/>
    </xf>
    <xf numFmtId="165" fontId="2126" fillId="5" borderId="3" xfId="8" applyNumberFormat="1" applyFont="1" applyFill="1" applyBorder="1" applyAlignment="1">
      <alignment horizontal="left" vertical="top" wrapText="1"/>
    </xf>
    <xf numFmtId="165" fontId="2063" fillId="5" borderId="3" xfId="8" applyNumberFormat="1" applyFont="1" applyFill="1" applyBorder="1" applyAlignment="1">
      <alignment horizontal="left" vertical="top" wrapText="1"/>
    </xf>
    <xf numFmtId="165" fontId="2009" fillId="5" borderId="3" xfId="8" applyNumberFormat="1" applyFont="1" applyFill="1" applyBorder="1" applyAlignment="1">
      <alignment horizontal="left" vertical="top" wrapText="1"/>
    </xf>
    <xf numFmtId="165" fontId="2198" fillId="5" borderId="3" xfId="8" applyNumberFormat="1" applyFont="1" applyFill="1" applyBorder="1" applyAlignment="1">
      <alignment horizontal="left" vertical="top" wrapText="1"/>
    </xf>
    <xf numFmtId="165" fontId="2022" fillId="5" borderId="3" xfId="8" applyNumberFormat="1" applyFont="1" applyFill="1" applyBorder="1" applyAlignment="1">
      <alignment horizontal="left" vertical="top" wrapText="1"/>
    </xf>
    <xf numFmtId="165" fontId="2170" fillId="5" borderId="3" xfId="8" applyNumberFormat="1" applyFont="1" applyFill="1" applyBorder="1" applyAlignment="1">
      <alignment horizontal="left" vertical="top" wrapText="1"/>
    </xf>
    <xf numFmtId="165" fontId="2146" fillId="5" borderId="3" xfId="8" applyNumberFormat="1" applyFont="1" applyFill="1" applyBorder="1" applyAlignment="1">
      <alignment horizontal="left" vertical="top" wrapText="1"/>
    </xf>
    <xf numFmtId="165" fontId="2058" fillId="5" borderId="3" xfId="8" applyNumberFormat="1" applyFont="1" applyFill="1" applyBorder="1" applyAlignment="1">
      <alignment horizontal="left" vertical="top" wrapText="1"/>
    </xf>
    <xf numFmtId="165" fontId="2127" fillId="5" borderId="3" xfId="8" applyNumberFormat="1" applyFont="1" applyFill="1" applyBorder="1" applyAlignment="1">
      <alignment horizontal="left" vertical="top" wrapText="1"/>
    </xf>
    <xf numFmtId="165" fontId="2064" fillId="5" borderId="3" xfId="8" applyNumberFormat="1" applyFont="1" applyFill="1" applyBorder="1" applyAlignment="1">
      <alignment horizontal="left" vertical="top" wrapText="1"/>
    </xf>
    <xf numFmtId="165" fontId="2010" fillId="5" borderId="3" xfId="8" applyNumberFormat="1" applyFont="1" applyFill="1" applyBorder="1" applyAlignment="1">
      <alignment horizontal="left" vertical="top" wrapText="1"/>
    </xf>
    <xf numFmtId="165" fontId="2199" fillId="5" borderId="3" xfId="8" applyNumberFormat="1" applyFont="1" applyFill="1" applyBorder="1" applyAlignment="1">
      <alignment horizontal="left" vertical="top" wrapText="1"/>
    </xf>
    <xf numFmtId="165" fontId="2023" fillId="5" borderId="3" xfId="8" applyNumberFormat="1" applyFont="1" applyFill="1" applyBorder="1" applyAlignment="1">
      <alignment horizontal="left" vertical="top" wrapText="1"/>
    </xf>
    <xf numFmtId="165" fontId="2171" fillId="5" borderId="3" xfId="8" applyNumberFormat="1" applyFont="1" applyFill="1" applyBorder="1" applyAlignment="1">
      <alignment horizontal="left" vertical="top" wrapText="1"/>
    </xf>
    <xf numFmtId="165" fontId="2147" fillId="5" borderId="3" xfId="8" applyNumberFormat="1" applyFont="1" applyFill="1" applyBorder="1" applyAlignment="1">
      <alignment horizontal="left" vertical="top" wrapText="1"/>
    </xf>
    <xf numFmtId="165" fontId="2059" fillId="5" borderId="3" xfId="8" applyNumberFormat="1" applyFont="1" applyFill="1" applyBorder="1" applyAlignment="1">
      <alignment horizontal="left" vertical="top" wrapText="1"/>
    </xf>
    <xf numFmtId="165" fontId="2128" fillId="5" borderId="3" xfId="8" applyNumberFormat="1" applyFont="1" applyFill="1" applyBorder="1" applyAlignment="1">
      <alignment horizontal="left" vertical="top" wrapText="1"/>
    </xf>
    <xf numFmtId="0" fontId="2211" fillId="5" borderId="3" xfId="0" applyFont="1" applyFill="1" applyBorder="1" applyAlignment="1">
      <alignment horizontal="center" vertical="top"/>
    </xf>
    <xf numFmtId="0" fontId="2211" fillId="5" borderId="3" xfId="0" applyFont="1" applyFill="1" applyBorder="1" applyAlignment="1">
      <alignment horizontal="left" vertical="top" wrapText="1"/>
    </xf>
    <xf numFmtId="165" fontId="2211" fillId="5" borderId="3" xfId="8" applyNumberFormat="1" applyFont="1" applyFill="1" applyBorder="1" applyAlignment="1">
      <alignment horizontal="left" vertical="top" wrapText="1"/>
    </xf>
    <xf numFmtId="0" fontId="2210" fillId="0" borderId="0" xfId="0" applyFont="1"/>
    <xf numFmtId="0" fontId="40" fillId="5" borderId="3" xfId="0" applyFont="1" applyFill="1" applyBorder="1" applyAlignment="1">
      <alignment horizontal="center" vertical="top" wrapText="1"/>
    </xf>
    <xf numFmtId="165" fontId="1772" fillId="4" borderId="3" xfId="8" applyNumberFormat="1" applyFont="1" applyFill="1" applyBorder="1" applyAlignment="1">
      <alignment horizontal="center" vertical="top" wrapText="1"/>
    </xf>
    <xf numFmtId="165" fontId="1872" fillId="5" borderId="3" xfId="8" applyNumberFormat="1" applyFont="1" applyFill="1" applyBorder="1" applyAlignment="1">
      <alignment horizontal="center" vertical="top"/>
    </xf>
    <xf numFmtId="165" fontId="1882" fillId="5" borderId="3" xfId="8" applyNumberFormat="1" applyFont="1" applyFill="1" applyBorder="1" applyAlignment="1">
      <alignment horizontal="center" vertical="top"/>
    </xf>
    <xf numFmtId="165" fontId="1893" fillId="5" borderId="3" xfId="8" applyNumberFormat="1" applyFont="1" applyFill="1" applyBorder="1" applyAlignment="1">
      <alignment horizontal="left" vertical="top" wrapText="1"/>
    </xf>
    <xf numFmtId="165" fontId="1780" fillId="5" borderId="3" xfId="8" applyNumberFormat="1" applyFont="1" applyFill="1" applyBorder="1" applyAlignment="1">
      <alignment horizontal="left" vertical="top" wrapText="1"/>
    </xf>
    <xf numFmtId="165" fontId="1826" fillId="5" borderId="3" xfId="8" applyNumberFormat="1" applyFont="1" applyFill="1" applyBorder="1" applyAlignment="1">
      <alignment horizontal="left" vertical="top" wrapText="1"/>
    </xf>
    <xf numFmtId="165" fontId="1905" fillId="5" borderId="3" xfId="8" applyNumberFormat="1" applyFont="1" applyFill="1" applyBorder="1" applyAlignment="1">
      <alignment horizontal="left" vertical="top" wrapText="1"/>
    </xf>
    <xf numFmtId="165" fontId="1812" fillId="5" borderId="3" xfId="8" applyNumberFormat="1" applyFont="1" applyFill="1" applyBorder="1" applyAlignment="1">
      <alignment horizontal="left" vertical="top" wrapText="1"/>
    </xf>
    <xf numFmtId="165" fontId="1794" fillId="5" borderId="3" xfId="8" applyNumberFormat="1" applyFont="1" applyFill="1" applyBorder="1" applyAlignment="1">
      <alignment horizontal="left" vertical="top" wrapText="1"/>
    </xf>
    <xf numFmtId="165" fontId="1813" fillId="5" borderId="3" xfId="8" applyNumberFormat="1" applyFont="1" applyFill="1" applyBorder="1" applyAlignment="1">
      <alignment horizontal="left" vertical="top" wrapText="1"/>
    </xf>
    <xf numFmtId="165" fontId="1795" fillId="5" borderId="3" xfId="8" applyNumberFormat="1" applyFont="1" applyFill="1" applyBorder="1" applyAlignment="1">
      <alignment horizontal="left" vertical="top" wrapText="1"/>
    </xf>
    <xf numFmtId="165" fontId="1821" fillId="5" borderId="3" xfId="8" applyNumberFormat="1" applyFont="1" applyFill="1" applyBorder="1" applyAlignment="1">
      <alignment horizontal="left" vertical="top" wrapText="1"/>
    </xf>
    <xf numFmtId="165" fontId="1900" fillId="5" borderId="3" xfId="8" applyNumberFormat="1" applyFont="1" applyFill="1" applyBorder="1" applyAlignment="1">
      <alignment horizontal="left" vertical="top" wrapText="1"/>
    </xf>
    <xf numFmtId="165" fontId="1822" fillId="5" borderId="3" xfId="8" applyNumberFormat="1" applyFont="1" applyFill="1" applyBorder="1" applyAlignment="1">
      <alignment horizontal="left" vertical="top" wrapText="1"/>
    </xf>
    <xf numFmtId="165" fontId="1901" fillId="5" borderId="3" xfId="8" applyNumberFormat="1" applyFont="1" applyFill="1" applyBorder="1" applyAlignment="1">
      <alignment horizontal="left" vertical="top" wrapText="1"/>
    </xf>
    <xf numFmtId="165" fontId="1823" fillId="5" borderId="3" xfId="8" applyNumberFormat="1" applyFont="1" applyFill="1" applyBorder="1" applyAlignment="1">
      <alignment horizontal="left" vertical="top" wrapText="1"/>
    </xf>
    <xf numFmtId="165" fontId="1902" fillId="5" borderId="3" xfId="8" applyNumberFormat="1" applyFont="1" applyFill="1" applyBorder="1" applyAlignment="1">
      <alignment horizontal="left" vertical="top" wrapText="1"/>
    </xf>
    <xf numFmtId="165" fontId="1829" fillId="5" borderId="3" xfId="8" applyNumberFormat="1" applyFont="1" applyFill="1" applyBorder="1" applyAlignment="1">
      <alignment horizontal="left" vertical="top" wrapText="1"/>
    </xf>
    <xf numFmtId="165" fontId="1776" fillId="5" borderId="3" xfId="8" applyNumberFormat="1" applyFont="1" applyFill="1" applyBorder="1" applyAlignment="1">
      <alignment horizontal="left" vertical="top" wrapText="1"/>
    </xf>
    <xf numFmtId="165" fontId="1824" fillId="5" borderId="3" xfId="8" applyNumberFormat="1" applyFont="1" applyFill="1" applyBorder="1" applyAlignment="1">
      <alignment horizontal="left" vertical="top" wrapText="1"/>
    </xf>
    <xf numFmtId="165" fontId="1903" fillId="5" borderId="3" xfId="8" applyNumberFormat="1" applyFont="1" applyFill="1" applyBorder="1" applyAlignment="1">
      <alignment horizontal="left" vertical="top" wrapText="1"/>
    </xf>
    <xf numFmtId="165" fontId="1816" fillId="5" borderId="3" xfId="8" applyNumberFormat="1" applyFont="1" applyFill="1" applyBorder="1" applyAlignment="1">
      <alignment horizontal="left" vertical="top" wrapText="1"/>
    </xf>
    <xf numFmtId="165" fontId="1894" fillId="5" borderId="3" xfId="8" applyNumberFormat="1" applyFont="1" applyFill="1" applyBorder="1" applyAlignment="1">
      <alignment horizontal="left" vertical="top" wrapText="1"/>
    </xf>
    <xf numFmtId="165" fontId="1830" fillId="5" borderId="3" xfId="8" applyNumberFormat="1" applyFont="1" applyFill="1" applyBorder="1" applyAlignment="1">
      <alignment horizontal="left" vertical="top" wrapText="1"/>
    </xf>
    <xf numFmtId="165" fontId="1777" fillId="5" borderId="3" xfId="8" applyNumberFormat="1" applyFont="1" applyFill="1" applyBorder="1" applyAlignment="1">
      <alignment horizontal="left" vertical="top" wrapText="1"/>
    </xf>
    <xf numFmtId="165" fontId="1825" fillId="5" borderId="3" xfId="8" applyNumberFormat="1" applyFont="1" applyFill="1" applyBorder="1" applyAlignment="1">
      <alignment horizontal="left" vertical="top" wrapText="1"/>
    </xf>
    <xf numFmtId="165" fontId="1904" fillId="5" borderId="3" xfId="8" applyNumberFormat="1" applyFont="1" applyFill="1" applyBorder="1" applyAlignment="1">
      <alignment horizontal="left" vertical="top" wrapText="1"/>
    </xf>
    <xf numFmtId="165" fontId="1818" fillId="5" borderId="3" xfId="8" applyNumberFormat="1" applyFont="1" applyFill="1" applyBorder="1" applyAlignment="1">
      <alignment horizontal="left" vertical="top" wrapText="1"/>
    </xf>
    <xf numFmtId="165" fontId="1896" fillId="5" borderId="3" xfId="8" applyNumberFormat="1" applyFont="1" applyFill="1" applyBorder="1" applyAlignment="1">
      <alignment horizontal="left" vertical="top" wrapText="1"/>
    </xf>
    <xf numFmtId="165" fontId="1892" fillId="5" borderId="3" xfId="8" applyNumberFormat="1" applyFont="1" applyFill="1" applyBorder="1" applyAlignment="1">
      <alignment horizontal="left" vertical="top" wrapText="1"/>
    </xf>
    <xf numFmtId="165" fontId="1779" fillId="5" borderId="3" xfId="8" applyNumberFormat="1" applyFont="1" applyFill="1" applyBorder="1" applyAlignment="1">
      <alignment horizontal="left" vertical="top" wrapText="1"/>
    </xf>
    <xf numFmtId="165" fontId="1814" fillId="5" borderId="3" xfId="8" applyNumberFormat="1" applyFont="1" applyFill="1" applyBorder="1" applyAlignment="1">
      <alignment horizontal="left" vertical="top" wrapText="1"/>
    </xf>
    <xf numFmtId="165" fontId="1796" fillId="5" borderId="3" xfId="8" applyNumberFormat="1" applyFont="1" applyFill="1" applyBorder="1" applyAlignment="1">
      <alignment horizontal="left" vertical="top" wrapText="1"/>
    </xf>
    <xf numFmtId="165" fontId="1815" fillId="5" borderId="3" xfId="8" applyNumberFormat="1" applyFont="1" applyFill="1" applyBorder="1" applyAlignment="1">
      <alignment horizontal="left" vertical="top" wrapText="1"/>
    </xf>
    <xf numFmtId="165" fontId="1797" fillId="5" borderId="3" xfId="8" applyNumberFormat="1" applyFont="1" applyFill="1" applyBorder="1" applyAlignment="1">
      <alignment horizontal="left" vertical="top" wrapText="1"/>
    </xf>
    <xf numFmtId="165" fontId="1809" fillId="5" borderId="3" xfId="8" applyNumberFormat="1" applyFont="1" applyFill="1" applyBorder="1" applyAlignment="1">
      <alignment horizontal="left" vertical="top" wrapText="1"/>
    </xf>
    <xf numFmtId="165" fontId="1939" fillId="5" borderId="3" xfId="8" applyNumberFormat="1" applyFont="1" applyFill="1" applyBorder="1" applyAlignment="1">
      <alignment horizontal="left" vertical="top" wrapText="1"/>
    </xf>
    <xf numFmtId="165" fontId="1773" fillId="5" borderId="3" xfId="8" applyNumberFormat="1" applyFont="1" applyFill="1" applyBorder="1" applyAlignment="1">
      <alignment horizontal="left" vertical="top" wrapText="1"/>
    </xf>
    <xf numFmtId="165" fontId="1778" fillId="5" borderId="3" xfId="8" applyNumberFormat="1" applyFont="1" applyFill="1" applyBorder="1" applyAlignment="1">
      <alignment horizontal="left" vertical="top" wrapText="1"/>
    </xf>
    <xf numFmtId="165" fontId="1819" fillId="5" borderId="3" xfId="8" applyNumberFormat="1" applyFont="1" applyFill="1" applyBorder="1" applyAlignment="1">
      <alignment horizontal="left" vertical="top" wrapText="1"/>
    </xf>
    <xf numFmtId="165" fontId="1897" fillId="5" borderId="3" xfId="8" applyNumberFormat="1" applyFont="1" applyFill="1" applyBorder="1" applyAlignment="1">
      <alignment horizontal="left" vertical="top" wrapText="1"/>
    </xf>
    <xf numFmtId="165" fontId="1820" fillId="5" borderId="3" xfId="8" applyNumberFormat="1" applyFont="1" applyFill="1" applyBorder="1" applyAlignment="1">
      <alignment horizontal="left" vertical="top" wrapText="1"/>
    </xf>
    <xf numFmtId="165" fontId="1898" fillId="5" borderId="3" xfId="8" applyNumberFormat="1" applyFont="1" applyFill="1" applyBorder="1" applyAlignment="1">
      <alignment horizontal="left" vertical="top" wrapText="1"/>
    </xf>
    <xf numFmtId="165" fontId="1810" fillId="5" borderId="3" xfId="8" applyNumberFormat="1" applyFont="1" applyFill="1" applyBorder="1" applyAlignment="1">
      <alignment horizontal="left" vertical="top" wrapText="1"/>
    </xf>
    <xf numFmtId="165" fontId="1792" fillId="5" borderId="3" xfId="8" applyNumberFormat="1" applyFont="1" applyFill="1" applyBorder="1" applyAlignment="1">
      <alignment horizontal="left" vertical="top" wrapText="1"/>
    </xf>
    <xf numFmtId="165" fontId="1827" fillId="5" borderId="3" xfId="8" applyNumberFormat="1" applyFont="1" applyFill="1" applyBorder="1" applyAlignment="1">
      <alignment horizontal="left" vertical="top" wrapText="1"/>
    </xf>
    <xf numFmtId="165" fontId="1774" fillId="5" borderId="3" xfId="8" applyNumberFormat="1" applyFont="1" applyFill="1" applyBorder="1" applyAlignment="1">
      <alignment horizontal="left" vertical="top" wrapText="1"/>
    </xf>
    <xf numFmtId="165" fontId="1781" fillId="5" borderId="3" xfId="8" applyNumberFormat="1" applyFont="1" applyFill="1" applyBorder="1" applyAlignment="1">
      <alignment horizontal="left" vertical="top" wrapText="1"/>
    </xf>
    <xf numFmtId="165" fontId="1899" fillId="5" borderId="3" xfId="8" applyNumberFormat="1" applyFont="1" applyFill="1" applyBorder="1" applyAlignment="1">
      <alignment horizontal="left" vertical="top" wrapText="1"/>
    </xf>
    <xf numFmtId="165" fontId="1811" fillId="5" borderId="3" xfId="8" applyNumberFormat="1" applyFont="1" applyFill="1" applyBorder="1" applyAlignment="1">
      <alignment horizontal="left" vertical="top" wrapText="1"/>
    </xf>
    <xf numFmtId="165" fontId="1793" fillId="5" borderId="3" xfId="8" applyNumberFormat="1" applyFont="1" applyFill="1" applyBorder="1" applyAlignment="1">
      <alignment horizontal="left" vertical="top" wrapText="1"/>
    </xf>
    <xf numFmtId="165" fontId="1808" fillId="5" borderId="3" xfId="8" applyNumberFormat="1" applyFont="1" applyFill="1" applyBorder="1" applyAlignment="1">
      <alignment horizontal="left" vertical="top" wrapText="1"/>
    </xf>
    <xf numFmtId="165" fontId="1938" fillId="5" borderId="3" xfId="8" applyNumberFormat="1" applyFont="1" applyFill="1" applyBorder="1" applyAlignment="1">
      <alignment horizontal="left" vertical="top" wrapText="1"/>
    </xf>
    <xf numFmtId="165" fontId="1828" fillId="5" borderId="3" xfId="8" applyNumberFormat="1" applyFont="1" applyFill="1" applyBorder="1" applyAlignment="1">
      <alignment horizontal="left" vertical="top" wrapText="1"/>
    </xf>
    <xf numFmtId="165" fontId="1775" fillId="5" borderId="3" xfId="8" applyNumberFormat="1" applyFont="1" applyFill="1" applyBorder="1" applyAlignment="1">
      <alignment horizontal="left" vertical="top" wrapText="1"/>
    </xf>
    <xf numFmtId="165" fontId="1817" fillId="5" borderId="3" xfId="8" applyNumberFormat="1" applyFont="1" applyFill="1" applyBorder="1" applyAlignment="1">
      <alignment horizontal="left" vertical="top" wrapText="1"/>
    </xf>
    <xf numFmtId="165" fontId="1895" fillId="5" borderId="3" xfId="8" applyNumberFormat="1" applyFont="1" applyFill="1" applyBorder="1" applyAlignment="1">
      <alignment horizontal="left" vertical="top" wrapText="1"/>
    </xf>
    <xf numFmtId="165" fontId="1799" fillId="5" borderId="3" xfId="8" applyNumberFormat="1" applyFont="1" applyFill="1" applyBorder="1" applyAlignment="1">
      <alignment horizontal="left" vertical="top" wrapText="1"/>
    </xf>
    <xf numFmtId="165" fontId="1928" fillId="5" borderId="3" xfId="8" applyNumberFormat="1" applyFont="1" applyFill="1" applyBorder="1" applyAlignment="1">
      <alignment horizontal="left" vertical="top" wrapText="1"/>
    </xf>
    <xf numFmtId="165" fontId="1800" fillId="5" borderId="3" xfId="8" applyNumberFormat="1" applyFont="1" applyFill="1" applyBorder="1" applyAlignment="1">
      <alignment horizontal="left" vertical="top" wrapText="1"/>
    </xf>
    <xf numFmtId="165" fontId="1929" fillId="5" borderId="3" xfId="8" applyNumberFormat="1" applyFont="1" applyFill="1" applyBorder="1" applyAlignment="1">
      <alignment horizontal="left" vertical="top" wrapText="1"/>
    </xf>
    <xf numFmtId="165" fontId="1801" fillId="5" borderId="3" xfId="8" applyNumberFormat="1" applyFont="1" applyFill="1" applyBorder="1" applyAlignment="1">
      <alignment horizontal="left" vertical="top" wrapText="1"/>
    </xf>
    <xf numFmtId="165" fontId="1930" fillId="5" borderId="3" xfId="8" applyNumberFormat="1" applyFont="1" applyFill="1" applyBorder="1" applyAlignment="1">
      <alignment horizontal="left" vertical="top" wrapText="1"/>
    </xf>
    <xf numFmtId="165" fontId="1798" fillId="5" borderId="3" xfId="8" applyNumberFormat="1" applyFont="1" applyFill="1" applyBorder="1" applyAlignment="1">
      <alignment horizontal="left" vertical="top" wrapText="1"/>
    </xf>
    <xf numFmtId="165" fontId="1931" fillId="5" borderId="3" xfId="8" applyNumberFormat="1" applyFont="1" applyFill="1" applyBorder="1" applyAlignment="1">
      <alignment horizontal="left" vertical="top" wrapText="1"/>
    </xf>
    <xf numFmtId="165" fontId="1802" fillId="5" borderId="3" xfId="8" applyNumberFormat="1" applyFont="1" applyFill="1" applyBorder="1" applyAlignment="1">
      <alignment horizontal="left" vertical="top" wrapText="1"/>
    </xf>
    <xf numFmtId="165" fontId="1932" fillId="5" borderId="3" xfId="8" applyNumberFormat="1" applyFont="1" applyFill="1" applyBorder="1" applyAlignment="1">
      <alignment horizontal="left" vertical="top" wrapText="1"/>
    </xf>
    <xf numFmtId="165" fontId="1803" fillId="5" borderId="3" xfId="8" applyNumberFormat="1" applyFont="1" applyFill="1" applyBorder="1" applyAlignment="1">
      <alignment horizontal="left" vertical="top" wrapText="1"/>
    </xf>
    <xf numFmtId="165" fontId="1933" fillId="5" borderId="3" xfId="8" applyNumberFormat="1" applyFont="1" applyFill="1" applyBorder="1" applyAlignment="1">
      <alignment horizontal="left" vertical="top" wrapText="1"/>
    </xf>
    <xf numFmtId="165" fontId="1804" fillId="5" borderId="3" xfId="8" applyNumberFormat="1" applyFont="1" applyFill="1" applyBorder="1" applyAlignment="1">
      <alignment horizontal="left" vertical="top" wrapText="1"/>
    </xf>
    <xf numFmtId="165" fontId="1934" fillId="5" borderId="3" xfId="8" applyNumberFormat="1" applyFont="1" applyFill="1" applyBorder="1" applyAlignment="1">
      <alignment horizontal="left" vertical="top" wrapText="1"/>
    </xf>
    <xf numFmtId="165" fontId="1805" fillId="5" borderId="3" xfId="8" applyNumberFormat="1" applyFont="1" applyFill="1" applyBorder="1" applyAlignment="1">
      <alignment horizontal="left" vertical="top" wrapText="1"/>
    </xf>
    <xf numFmtId="165" fontId="1935" fillId="5" borderId="3" xfId="8" applyNumberFormat="1" applyFont="1" applyFill="1" applyBorder="1" applyAlignment="1">
      <alignment horizontal="left" vertical="top" wrapText="1"/>
    </xf>
    <xf numFmtId="165" fontId="1806" fillId="5" borderId="3" xfId="8" applyNumberFormat="1" applyFont="1" applyFill="1" applyBorder="1" applyAlignment="1">
      <alignment horizontal="left" vertical="top" wrapText="1"/>
    </xf>
    <xf numFmtId="165" fontId="1936" fillId="5" borderId="3" xfId="8" applyNumberFormat="1" applyFont="1" applyFill="1" applyBorder="1" applyAlignment="1">
      <alignment horizontal="left" vertical="top" wrapText="1"/>
    </xf>
    <xf numFmtId="165" fontId="1807" fillId="5" borderId="3" xfId="8" applyNumberFormat="1" applyFont="1" applyFill="1" applyBorder="1" applyAlignment="1">
      <alignment horizontal="left" vertical="top" wrapText="1"/>
    </xf>
    <xf numFmtId="165" fontId="1937" fillId="5" borderId="3" xfId="8" applyNumberFormat="1" applyFont="1" applyFill="1" applyBorder="1" applyAlignment="1">
      <alignment horizontal="left" vertical="top" wrapText="1"/>
    </xf>
    <xf numFmtId="165" fontId="0" fillId="0" borderId="0" xfId="8" applyNumberFormat="1" applyFont="1"/>
    <xf numFmtId="0" fontId="3" fillId="0" borderId="0" xfId="0" applyFont="1" applyAlignment="1">
      <alignment horizontal="center"/>
    </xf>
    <xf numFmtId="0" fontId="9" fillId="0" borderId="2" xfId="0" applyFont="1" applyBorder="1" applyAlignment="1">
      <alignment horizontal="right" wrapText="1"/>
    </xf>
    <xf numFmtId="0" fontId="18" fillId="0" borderId="0" xfId="0" applyNumberFormat="1" applyFont="1" applyAlignment="1">
      <alignment horizontal="center" vertical="top" wrapText="1"/>
    </xf>
    <xf numFmtId="0" fontId="6" fillId="0" borderId="0" xfId="1" applyFont="1"/>
    <xf numFmtId="0" fontId="6" fillId="0" borderId="0" xfId="0" applyFont="1"/>
    <xf numFmtId="0" fontId="37" fillId="6" borderId="0" xfId="0" applyFont="1" applyFill="1" applyAlignment="1">
      <alignment horizontal="center"/>
    </xf>
    <xf numFmtId="0" fontId="38" fillId="6" borderId="0" xfId="0" applyFont="1" applyFill="1" applyAlignment="1">
      <alignment horizontal="center"/>
    </xf>
    <xf numFmtId="0" fontId="440" fillId="6" borderId="0" xfId="0" applyFont="1" applyFill="1" applyAlignment="1">
      <alignment horizontal="center"/>
    </xf>
    <xf numFmtId="0" fontId="671" fillId="6" borderId="0" xfId="0" applyFont="1" applyFill="1" applyAlignment="1">
      <alignment horizontal="center"/>
    </xf>
    <xf numFmtId="0" fontId="672" fillId="6" borderId="0" xfId="0" applyFont="1" applyFill="1" applyAlignment="1">
      <alignment horizontal="center"/>
    </xf>
    <xf numFmtId="0" fontId="1000" fillId="6" borderId="0" xfId="0" applyFont="1" applyFill="1" applyAlignment="1">
      <alignment horizontal="center"/>
    </xf>
    <xf numFmtId="0" fontId="1001" fillId="6" borderId="0" xfId="0" applyFont="1" applyFill="1" applyAlignment="1">
      <alignment horizontal="center"/>
    </xf>
    <xf numFmtId="0" fontId="1221" fillId="6" borderId="0" xfId="0" applyFont="1" applyFill="1" applyAlignment="1">
      <alignment horizontal="center"/>
    </xf>
    <xf numFmtId="0" fontId="1222" fillId="6" borderId="0" xfId="0" applyFont="1" applyFill="1" applyAlignment="1">
      <alignment horizontal="center"/>
    </xf>
    <xf numFmtId="0" fontId="1390" fillId="6" borderId="0" xfId="0" applyFont="1" applyFill="1" applyAlignment="1">
      <alignment horizontal="center"/>
    </xf>
    <xf numFmtId="0" fontId="1391" fillId="6" borderId="0" xfId="0" applyFont="1" applyFill="1" applyAlignment="1">
      <alignment horizontal="center"/>
    </xf>
    <xf numFmtId="0" fontId="1771" fillId="6" borderId="0" xfId="0" applyFont="1" applyFill="1" applyAlignment="1">
      <alignment horizontal="center"/>
    </xf>
    <xf numFmtId="0" fontId="1965" fillId="6" borderId="0" xfId="0" applyFont="1" applyFill="1" applyAlignment="1">
      <alignment horizontal="center"/>
    </xf>
    <xf numFmtId="0" fontId="1966" fillId="6" borderId="0" xfId="0" applyFont="1" applyFill="1" applyAlignment="1">
      <alignment horizontal="center"/>
    </xf>
    <xf numFmtId="0" fontId="1963" fillId="6" borderId="0" xfId="0" applyFont="1" applyFill="1" applyAlignment="1">
      <alignment horizontal="center"/>
    </xf>
    <xf numFmtId="0" fontId="1964" fillId="4" borderId="3" xfId="0" applyFont="1" applyFill="1" applyBorder="1" applyAlignment="1">
      <alignment horizontal="center" vertical="top" wrapText="1"/>
    </xf>
    <xf numFmtId="0" fontId="1962" fillId="4" borderId="3" xfId="0" applyFont="1" applyFill="1" applyBorder="1" applyAlignment="1">
      <alignment horizontal="center" vertical="top" wrapText="1"/>
    </xf>
    <xf numFmtId="0" fontId="0" fillId="6" borderId="0" xfId="0" applyFont="1" applyFill="1" applyAlignment="1">
      <alignment horizontal="center"/>
    </xf>
  </cellXfs>
  <cellStyles count="9">
    <cellStyle name="Comma" xfId="8" builtinId="3"/>
    <cellStyle name="Comma 2" xfId="4"/>
    <cellStyle name="Comma 2 2" xfId="7"/>
    <cellStyle name="Comma 3" xfId="2"/>
    <cellStyle name="Comma 3 2" xfId="6"/>
    <cellStyle name="Normal" xfId="0" builtinId="0"/>
    <cellStyle name="Normal 2" xfId="1"/>
    <cellStyle name="Normal 42" xf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9"/>
  <sheetViews>
    <sheetView tabSelected="1" workbookViewId="0">
      <selection activeCell="C7" sqref="C7"/>
    </sheetView>
  </sheetViews>
  <sheetFormatPr defaultColWidth="8.85546875" defaultRowHeight="15" x14ac:dyDescent="0.25"/>
  <cols>
    <col min="1" max="1" width="3.7109375" style="1" customWidth="1"/>
    <col min="2" max="2" width="31.28515625" style="1" bestFit="1" customWidth="1"/>
    <col min="3" max="3" width="90.85546875" style="1" customWidth="1"/>
    <col min="4" max="4" width="31.28515625" style="1" bestFit="1" customWidth="1"/>
    <col min="5" max="253" width="8.85546875" style="1"/>
    <col min="254" max="254" width="3.7109375" style="1" customWidth="1"/>
    <col min="255" max="255" width="15.140625" style="1" customWidth="1"/>
    <col min="256" max="256" width="31.42578125" style="1" bestFit="1" customWidth="1"/>
    <col min="257" max="257" width="38.7109375" style="1" customWidth="1"/>
    <col min="258" max="509" width="8.85546875" style="1"/>
    <col min="510" max="510" width="3.7109375" style="1" customWidth="1"/>
    <col min="511" max="511" width="15.140625" style="1" customWidth="1"/>
    <col min="512" max="512" width="31.42578125" style="1" bestFit="1" customWidth="1"/>
    <col min="513" max="513" width="38.7109375" style="1" customWidth="1"/>
    <col min="514" max="765" width="8.85546875" style="1"/>
    <col min="766" max="766" width="3.7109375" style="1" customWidth="1"/>
    <col min="767" max="767" width="15.140625" style="1" customWidth="1"/>
    <col min="768" max="768" width="31.42578125" style="1" bestFit="1" customWidth="1"/>
    <col min="769" max="769" width="38.7109375" style="1" customWidth="1"/>
    <col min="770" max="1021" width="8.85546875" style="1"/>
    <col min="1022" max="1022" width="3.7109375" style="1" customWidth="1"/>
    <col min="1023" max="1023" width="15.140625" style="1" customWidth="1"/>
    <col min="1024" max="1024" width="31.42578125" style="1" bestFit="1" customWidth="1"/>
    <col min="1025" max="1025" width="38.7109375" style="1" customWidth="1"/>
    <col min="1026" max="1277" width="8.85546875" style="1"/>
    <col min="1278" max="1278" width="3.7109375" style="1" customWidth="1"/>
    <col min="1279" max="1279" width="15.140625" style="1" customWidth="1"/>
    <col min="1280" max="1280" width="31.42578125" style="1" bestFit="1" customWidth="1"/>
    <col min="1281" max="1281" width="38.7109375" style="1" customWidth="1"/>
    <col min="1282" max="1533" width="8.85546875" style="1"/>
    <col min="1534" max="1534" width="3.7109375" style="1" customWidth="1"/>
    <col min="1535" max="1535" width="15.140625" style="1" customWidth="1"/>
    <col min="1536" max="1536" width="31.42578125" style="1" bestFit="1" customWidth="1"/>
    <col min="1537" max="1537" width="38.7109375" style="1" customWidth="1"/>
    <col min="1538" max="1789" width="8.85546875" style="1"/>
    <col min="1790" max="1790" width="3.7109375" style="1" customWidth="1"/>
    <col min="1791" max="1791" width="15.140625" style="1" customWidth="1"/>
    <col min="1792" max="1792" width="31.42578125" style="1" bestFit="1" customWidth="1"/>
    <col min="1793" max="1793" width="38.7109375" style="1" customWidth="1"/>
    <col min="1794" max="2045" width="8.85546875" style="1"/>
    <col min="2046" max="2046" width="3.7109375" style="1" customWidth="1"/>
    <col min="2047" max="2047" width="15.140625" style="1" customWidth="1"/>
    <col min="2048" max="2048" width="31.42578125" style="1" bestFit="1" customWidth="1"/>
    <col min="2049" max="2049" width="38.7109375" style="1" customWidth="1"/>
    <col min="2050" max="2301" width="8.85546875" style="1"/>
    <col min="2302" max="2302" width="3.7109375" style="1" customWidth="1"/>
    <col min="2303" max="2303" width="15.140625" style="1" customWidth="1"/>
    <col min="2304" max="2304" width="31.42578125" style="1" bestFit="1" customWidth="1"/>
    <col min="2305" max="2305" width="38.7109375" style="1" customWidth="1"/>
    <col min="2306" max="2557" width="8.85546875" style="1"/>
    <col min="2558" max="2558" width="3.7109375" style="1" customWidth="1"/>
    <col min="2559" max="2559" width="15.140625" style="1" customWidth="1"/>
    <col min="2560" max="2560" width="31.42578125" style="1" bestFit="1" customWidth="1"/>
    <col min="2561" max="2561" width="38.7109375" style="1" customWidth="1"/>
    <col min="2562" max="2813" width="8.85546875" style="1"/>
    <col min="2814" max="2814" width="3.7109375" style="1" customWidth="1"/>
    <col min="2815" max="2815" width="15.140625" style="1" customWidth="1"/>
    <col min="2816" max="2816" width="31.42578125" style="1" bestFit="1" customWidth="1"/>
    <col min="2817" max="2817" width="38.7109375" style="1" customWidth="1"/>
    <col min="2818" max="3069" width="8.85546875" style="1"/>
    <col min="3070" max="3070" width="3.7109375" style="1" customWidth="1"/>
    <col min="3071" max="3071" width="15.140625" style="1" customWidth="1"/>
    <col min="3072" max="3072" width="31.42578125" style="1" bestFit="1" customWidth="1"/>
    <col min="3073" max="3073" width="38.7109375" style="1" customWidth="1"/>
    <col min="3074" max="3325" width="8.85546875" style="1"/>
    <col min="3326" max="3326" width="3.7109375" style="1" customWidth="1"/>
    <col min="3327" max="3327" width="15.140625" style="1" customWidth="1"/>
    <col min="3328" max="3328" width="31.42578125" style="1" bestFit="1" customWidth="1"/>
    <col min="3329" max="3329" width="38.7109375" style="1" customWidth="1"/>
    <col min="3330" max="3581" width="8.85546875" style="1"/>
    <col min="3582" max="3582" width="3.7109375" style="1" customWidth="1"/>
    <col min="3583" max="3583" width="15.140625" style="1" customWidth="1"/>
    <col min="3584" max="3584" width="31.42578125" style="1" bestFit="1" customWidth="1"/>
    <col min="3585" max="3585" width="38.7109375" style="1" customWidth="1"/>
    <col min="3586" max="3837" width="8.85546875" style="1"/>
    <col min="3838" max="3838" width="3.7109375" style="1" customWidth="1"/>
    <col min="3839" max="3839" width="15.140625" style="1" customWidth="1"/>
    <col min="3840" max="3840" width="31.42578125" style="1" bestFit="1" customWidth="1"/>
    <col min="3841" max="3841" width="38.7109375" style="1" customWidth="1"/>
    <col min="3842" max="4093" width="8.85546875" style="1"/>
    <col min="4094" max="4094" width="3.7109375" style="1" customWidth="1"/>
    <col min="4095" max="4095" width="15.140625" style="1" customWidth="1"/>
    <col min="4096" max="4096" width="31.42578125" style="1" bestFit="1" customWidth="1"/>
    <col min="4097" max="4097" width="38.7109375" style="1" customWidth="1"/>
    <col min="4098" max="4349" width="8.85546875" style="1"/>
    <col min="4350" max="4350" width="3.7109375" style="1" customWidth="1"/>
    <col min="4351" max="4351" width="15.140625" style="1" customWidth="1"/>
    <col min="4352" max="4352" width="31.42578125" style="1" bestFit="1" customWidth="1"/>
    <col min="4353" max="4353" width="38.7109375" style="1" customWidth="1"/>
    <col min="4354" max="4605" width="8.85546875" style="1"/>
    <col min="4606" max="4606" width="3.7109375" style="1" customWidth="1"/>
    <col min="4607" max="4607" width="15.140625" style="1" customWidth="1"/>
    <col min="4608" max="4608" width="31.42578125" style="1" bestFit="1" customWidth="1"/>
    <col min="4609" max="4609" width="38.7109375" style="1" customWidth="1"/>
    <col min="4610" max="4861" width="8.85546875" style="1"/>
    <col min="4862" max="4862" width="3.7109375" style="1" customWidth="1"/>
    <col min="4863" max="4863" width="15.140625" style="1" customWidth="1"/>
    <col min="4864" max="4864" width="31.42578125" style="1" bestFit="1" customWidth="1"/>
    <col min="4865" max="4865" width="38.7109375" style="1" customWidth="1"/>
    <col min="4866" max="5117" width="8.85546875" style="1"/>
    <col min="5118" max="5118" width="3.7109375" style="1" customWidth="1"/>
    <col min="5119" max="5119" width="15.140625" style="1" customWidth="1"/>
    <col min="5120" max="5120" width="31.42578125" style="1" bestFit="1" customWidth="1"/>
    <col min="5121" max="5121" width="38.7109375" style="1" customWidth="1"/>
    <col min="5122" max="5373" width="8.85546875" style="1"/>
    <col min="5374" max="5374" width="3.7109375" style="1" customWidth="1"/>
    <col min="5375" max="5375" width="15.140625" style="1" customWidth="1"/>
    <col min="5376" max="5376" width="31.42578125" style="1" bestFit="1" customWidth="1"/>
    <col min="5377" max="5377" width="38.7109375" style="1" customWidth="1"/>
    <col min="5378" max="5629" width="8.85546875" style="1"/>
    <col min="5630" max="5630" width="3.7109375" style="1" customWidth="1"/>
    <col min="5631" max="5631" width="15.140625" style="1" customWidth="1"/>
    <col min="5632" max="5632" width="31.42578125" style="1" bestFit="1" customWidth="1"/>
    <col min="5633" max="5633" width="38.7109375" style="1" customWidth="1"/>
    <col min="5634" max="5885" width="8.85546875" style="1"/>
    <col min="5886" max="5886" width="3.7109375" style="1" customWidth="1"/>
    <col min="5887" max="5887" width="15.140625" style="1" customWidth="1"/>
    <col min="5888" max="5888" width="31.42578125" style="1" bestFit="1" customWidth="1"/>
    <col min="5889" max="5889" width="38.7109375" style="1" customWidth="1"/>
    <col min="5890" max="6141" width="8.85546875" style="1"/>
    <col min="6142" max="6142" width="3.7109375" style="1" customWidth="1"/>
    <col min="6143" max="6143" width="15.140625" style="1" customWidth="1"/>
    <col min="6144" max="6144" width="31.42578125" style="1" bestFit="1" customWidth="1"/>
    <col min="6145" max="6145" width="38.7109375" style="1" customWidth="1"/>
    <col min="6146" max="6397" width="8.85546875" style="1"/>
    <col min="6398" max="6398" width="3.7109375" style="1" customWidth="1"/>
    <col min="6399" max="6399" width="15.140625" style="1" customWidth="1"/>
    <col min="6400" max="6400" width="31.42578125" style="1" bestFit="1" customWidth="1"/>
    <col min="6401" max="6401" width="38.7109375" style="1" customWidth="1"/>
    <col min="6402" max="6653" width="8.85546875" style="1"/>
    <col min="6654" max="6654" width="3.7109375" style="1" customWidth="1"/>
    <col min="6655" max="6655" width="15.140625" style="1" customWidth="1"/>
    <col min="6656" max="6656" width="31.42578125" style="1" bestFit="1" customWidth="1"/>
    <col min="6657" max="6657" width="38.7109375" style="1" customWidth="1"/>
    <col min="6658" max="6909" width="8.85546875" style="1"/>
    <col min="6910" max="6910" width="3.7109375" style="1" customWidth="1"/>
    <col min="6911" max="6911" width="15.140625" style="1" customWidth="1"/>
    <col min="6912" max="6912" width="31.42578125" style="1" bestFit="1" customWidth="1"/>
    <col min="6913" max="6913" width="38.7109375" style="1" customWidth="1"/>
    <col min="6914" max="7165" width="8.85546875" style="1"/>
    <col min="7166" max="7166" width="3.7109375" style="1" customWidth="1"/>
    <col min="7167" max="7167" width="15.140625" style="1" customWidth="1"/>
    <col min="7168" max="7168" width="31.42578125" style="1" bestFit="1" customWidth="1"/>
    <col min="7169" max="7169" width="38.7109375" style="1" customWidth="1"/>
    <col min="7170" max="7421" width="8.85546875" style="1"/>
    <col min="7422" max="7422" width="3.7109375" style="1" customWidth="1"/>
    <col min="7423" max="7423" width="15.140625" style="1" customWidth="1"/>
    <col min="7424" max="7424" width="31.42578125" style="1" bestFit="1" customWidth="1"/>
    <col min="7425" max="7425" width="38.7109375" style="1" customWidth="1"/>
    <col min="7426" max="7677" width="8.85546875" style="1"/>
    <col min="7678" max="7678" width="3.7109375" style="1" customWidth="1"/>
    <col min="7679" max="7679" width="15.140625" style="1" customWidth="1"/>
    <col min="7680" max="7680" width="31.42578125" style="1" bestFit="1" customWidth="1"/>
    <col min="7681" max="7681" width="38.7109375" style="1" customWidth="1"/>
    <col min="7682" max="7933" width="8.85546875" style="1"/>
    <col min="7934" max="7934" width="3.7109375" style="1" customWidth="1"/>
    <col min="7935" max="7935" width="15.140625" style="1" customWidth="1"/>
    <col min="7936" max="7936" width="31.42578125" style="1" bestFit="1" customWidth="1"/>
    <col min="7937" max="7937" width="38.7109375" style="1" customWidth="1"/>
    <col min="7938" max="8189" width="8.85546875" style="1"/>
    <col min="8190" max="8190" width="3.7109375" style="1" customWidth="1"/>
    <col min="8191" max="8191" width="15.140625" style="1" customWidth="1"/>
    <col min="8192" max="8192" width="31.42578125" style="1" bestFit="1" customWidth="1"/>
    <col min="8193" max="8193" width="38.7109375" style="1" customWidth="1"/>
    <col min="8194" max="8445" width="8.85546875" style="1"/>
    <col min="8446" max="8446" width="3.7109375" style="1" customWidth="1"/>
    <col min="8447" max="8447" width="15.140625" style="1" customWidth="1"/>
    <col min="8448" max="8448" width="31.42578125" style="1" bestFit="1" customWidth="1"/>
    <col min="8449" max="8449" width="38.7109375" style="1" customWidth="1"/>
    <col min="8450" max="8701" width="8.85546875" style="1"/>
    <col min="8702" max="8702" width="3.7109375" style="1" customWidth="1"/>
    <col min="8703" max="8703" width="15.140625" style="1" customWidth="1"/>
    <col min="8704" max="8704" width="31.42578125" style="1" bestFit="1" customWidth="1"/>
    <col min="8705" max="8705" width="38.7109375" style="1" customWidth="1"/>
    <col min="8706" max="8957" width="8.85546875" style="1"/>
    <col min="8958" max="8958" width="3.7109375" style="1" customWidth="1"/>
    <col min="8959" max="8959" width="15.140625" style="1" customWidth="1"/>
    <col min="8960" max="8960" width="31.42578125" style="1" bestFit="1" customWidth="1"/>
    <col min="8961" max="8961" width="38.7109375" style="1" customWidth="1"/>
    <col min="8962" max="9213" width="8.85546875" style="1"/>
    <col min="9214" max="9214" width="3.7109375" style="1" customWidth="1"/>
    <col min="9215" max="9215" width="15.140625" style="1" customWidth="1"/>
    <col min="9216" max="9216" width="31.42578125" style="1" bestFit="1" customWidth="1"/>
    <col min="9217" max="9217" width="38.7109375" style="1" customWidth="1"/>
    <col min="9218" max="9469" width="8.85546875" style="1"/>
    <col min="9470" max="9470" width="3.7109375" style="1" customWidth="1"/>
    <col min="9471" max="9471" width="15.140625" style="1" customWidth="1"/>
    <col min="9472" max="9472" width="31.42578125" style="1" bestFit="1" customWidth="1"/>
    <col min="9473" max="9473" width="38.7109375" style="1" customWidth="1"/>
    <col min="9474" max="9725" width="8.85546875" style="1"/>
    <col min="9726" max="9726" width="3.7109375" style="1" customWidth="1"/>
    <col min="9727" max="9727" width="15.140625" style="1" customWidth="1"/>
    <col min="9728" max="9728" width="31.42578125" style="1" bestFit="1" customWidth="1"/>
    <col min="9729" max="9729" width="38.7109375" style="1" customWidth="1"/>
    <col min="9730" max="9981" width="8.85546875" style="1"/>
    <col min="9982" max="9982" width="3.7109375" style="1" customWidth="1"/>
    <col min="9983" max="9983" width="15.140625" style="1" customWidth="1"/>
    <col min="9984" max="9984" width="31.42578125" style="1" bestFit="1" customWidth="1"/>
    <col min="9985" max="9985" width="38.7109375" style="1" customWidth="1"/>
    <col min="9986" max="10237" width="8.85546875" style="1"/>
    <col min="10238" max="10238" width="3.7109375" style="1" customWidth="1"/>
    <col min="10239" max="10239" width="15.140625" style="1" customWidth="1"/>
    <col min="10240" max="10240" width="31.42578125" style="1" bestFit="1" customWidth="1"/>
    <col min="10241" max="10241" width="38.7109375" style="1" customWidth="1"/>
    <col min="10242" max="10493" width="8.85546875" style="1"/>
    <col min="10494" max="10494" width="3.7109375" style="1" customWidth="1"/>
    <col min="10495" max="10495" width="15.140625" style="1" customWidth="1"/>
    <col min="10496" max="10496" width="31.42578125" style="1" bestFit="1" customWidth="1"/>
    <col min="10497" max="10497" width="38.7109375" style="1" customWidth="1"/>
    <col min="10498" max="10749" width="8.85546875" style="1"/>
    <col min="10750" max="10750" width="3.7109375" style="1" customWidth="1"/>
    <col min="10751" max="10751" width="15.140625" style="1" customWidth="1"/>
    <col min="10752" max="10752" width="31.42578125" style="1" bestFit="1" customWidth="1"/>
    <col min="10753" max="10753" width="38.7109375" style="1" customWidth="1"/>
    <col min="10754" max="11005" width="8.85546875" style="1"/>
    <col min="11006" max="11006" width="3.7109375" style="1" customWidth="1"/>
    <col min="11007" max="11007" width="15.140625" style="1" customWidth="1"/>
    <col min="11008" max="11008" width="31.42578125" style="1" bestFit="1" customWidth="1"/>
    <col min="11009" max="11009" width="38.7109375" style="1" customWidth="1"/>
    <col min="11010" max="11261" width="8.85546875" style="1"/>
    <col min="11262" max="11262" width="3.7109375" style="1" customWidth="1"/>
    <col min="11263" max="11263" width="15.140625" style="1" customWidth="1"/>
    <col min="11264" max="11264" width="31.42578125" style="1" bestFit="1" customWidth="1"/>
    <col min="11265" max="11265" width="38.7109375" style="1" customWidth="1"/>
    <col min="11266" max="11517" width="8.85546875" style="1"/>
    <col min="11518" max="11518" width="3.7109375" style="1" customWidth="1"/>
    <col min="11519" max="11519" width="15.140625" style="1" customWidth="1"/>
    <col min="11520" max="11520" width="31.42578125" style="1" bestFit="1" customWidth="1"/>
    <col min="11521" max="11521" width="38.7109375" style="1" customWidth="1"/>
    <col min="11522" max="11773" width="8.85546875" style="1"/>
    <col min="11774" max="11774" width="3.7109375" style="1" customWidth="1"/>
    <col min="11775" max="11775" width="15.140625" style="1" customWidth="1"/>
    <col min="11776" max="11776" width="31.42578125" style="1" bestFit="1" customWidth="1"/>
    <col min="11777" max="11777" width="38.7109375" style="1" customWidth="1"/>
    <col min="11778" max="12029" width="8.85546875" style="1"/>
    <col min="12030" max="12030" width="3.7109375" style="1" customWidth="1"/>
    <col min="12031" max="12031" width="15.140625" style="1" customWidth="1"/>
    <col min="12032" max="12032" width="31.42578125" style="1" bestFit="1" customWidth="1"/>
    <col min="12033" max="12033" width="38.7109375" style="1" customWidth="1"/>
    <col min="12034" max="12285" width="8.85546875" style="1"/>
    <col min="12286" max="12286" width="3.7109375" style="1" customWidth="1"/>
    <col min="12287" max="12287" width="15.140625" style="1" customWidth="1"/>
    <col min="12288" max="12288" width="31.42578125" style="1" bestFit="1" customWidth="1"/>
    <col min="12289" max="12289" width="38.7109375" style="1" customWidth="1"/>
    <col min="12290" max="12541" width="8.85546875" style="1"/>
    <col min="12542" max="12542" width="3.7109375" style="1" customWidth="1"/>
    <col min="12543" max="12543" width="15.140625" style="1" customWidth="1"/>
    <col min="12544" max="12544" width="31.42578125" style="1" bestFit="1" customWidth="1"/>
    <col min="12545" max="12545" width="38.7109375" style="1" customWidth="1"/>
    <col min="12546" max="12797" width="8.85546875" style="1"/>
    <col min="12798" max="12798" width="3.7109375" style="1" customWidth="1"/>
    <col min="12799" max="12799" width="15.140625" style="1" customWidth="1"/>
    <col min="12800" max="12800" width="31.42578125" style="1" bestFit="1" customWidth="1"/>
    <col min="12801" max="12801" width="38.7109375" style="1" customWidth="1"/>
    <col min="12802" max="13053" width="8.85546875" style="1"/>
    <col min="13054" max="13054" width="3.7109375" style="1" customWidth="1"/>
    <col min="13055" max="13055" width="15.140625" style="1" customWidth="1"/>
    <col min="13056" max="13056" width="31.42578125" style="1" bestFit="1" customWidth="1"/>
    <col min="13057" max="13057" width="38.7109375" style="1" customWidth="1"/>
    <col min="13058" max="13309" width="8.85546875" style="1"/>
    <col min="13310" max="13310" width="3.7109375" style="1" customWidth="1"/>
    <col min="13311" max="13311" width="15.140625" style="1" customWidth="1"/>
    <col min="13312" max="13312" width="31.42578125" style="1" bestFit="1" customWidth="1"/>
    <col min="13313" max="13313" width="38.7109375" style="1" customWidth="1"/>
    <col min="13314" max="13565" width="8.85546875" style="1"/>
    <col min="13566" max="13566" width="3.7109375" style="1" customWidth="1"/>
    <col min="13567" max="13567" width="15.140625" style="1" customWidth="1"/>
    <col min="13568" max="13568" width="31.42578125" style="1" bestFit="1" customWidth="1"/>
    <col min="13569" max="13569" width="38.7109375" style="1" customWidth="1"/>
    <col min="13570" max="13821" width="8.85546875" style="1"/>
    <col min="13822" max="13822" width="3.7109375" style="1" customWidth="1"/>
    <col min="13823" max="13823" width="15.140625" style="1" customWidth="1"/>
    <col min="13824" max="13824" width="31.42578125" style="1" bestFit="1" customWidth="1"/>
    <col min="13825" max="13825" width="38.7109375" style="1" customWidth="1"/>
    <col min="13826" max="14077" width="8.85546875" style="1"/>
    <col min="14078" max="14078" width="3.7109375" style="1" customWidth="1"/>
    <col min="14079" max="14079" width="15.140625" style="1" customWidth="1"/>
    <col min="14080" max="14080" width="31.42578125" style="1" bestFit="1" customWidth="1"/>
    <col min="14081" max="14081" width="38.7109375" style="1" customWidth="1"/>
    <col min="14082" max="14333" width="8.85546875" style="1"/>
    <col min="14334" max="14334" width="3.7109375" style="1" customWidth="1"/>
    <col min="14335" max="14335" width="15.140625" style="1" customWidth="1"/>
    <col min="14336" max="14336" width="31.42578125" style="1" bestFit="1" customWidth="1"/>
    <col min="14337" max="14337" width="38.7109375" style="1" customWidth="1"/>
    <col min="14338" max="14589" width="8.85546875" style="1"/>
    <col min="14590" max="14590" width="3.7109375" style="1" customWidth="1"/>
    <col min="14591" max="14591" width="15.140625" style="1" customWidth="1"/>
    <col min="14592" max="14592" width="31.42578125" style="1" bestFit="1" customWidth="1"/>
    <col min="14593" max="14593" width="38.7109375" style="1" customWidth="1"/>
    <col min="14594" max="14845" width="8.85546875" style="1"/>
    <col min="14846" max="14846" width="3.7109375" style="1" customWidth="1"/>
    <col min="14847" max="14847" width="15.140625" style="1" customWidth="1"/>
    <col min="14848" max="14848" width="31.42578125" style="1" bestFit="1" customWidth="1"/>
    <col min="14849" max="14849" width="38.7109375" style="1" customWidth="1"/>
    <col min="14850" max="15101" width="8.85546875" style="1"/>
    <col min="15102" max="15102" width="3.7109375" style="1" customWidth="1"/>
    <col min="15103" max="15103" width="15.140625" style="1" customWidth="1"/>
    <col min="15104" max="15104" width="31.42578125" style="1" bestFit="1" customWidth="1"/>
    <col min="15105" max="15105" width="38.7109375" style="1" customWidth="1"/>
    <col min="15106" max="15357" width="8.85546875" style="1"/>
    <col min="15358" max="15358" width="3.7109375" style="1" customWidth="1"/>
    <col min="15359" max="15359" width="15.140625" style="1" customWidth="1"/>
    <col min="15360" max="15360" width="31.42578125" style="1" bestFit="1" customWidth="1"/>
    <col min="15361" max="15361" width="38.7109375" style="1" customWidth="1"/>
    <col min="15362" max="15613" width="8.85546875" style="1"/>
    <col min="15614" max="15614" width="3.7109375" style="1" customWidth="1"/>
    <col min="15615" max="15615" width="15.140625" style="1" customWidth="1"/>
    <col min="15616" max="15616" width="31.42578125" style="1" bestFit="1" customWidth="1"/>
    <col min="15617" max="15617" width="38.7109375" style="1" customWidth="1"/>
    <col min="15618" max="15869" width="8.85546875" style="1"/>
    <col min="15870" max="15870" width="3.7109375" style="1" customWidth="1"/>
    <col min="15871" max="15871" width="15.140625" style="1" customWidth="1"/>
    <col min="15872" max="15872" width="31.42578125" style="1" bestFit="1" customWidth="1"/>
    <col min="15873" max="15873" width="38.7109375" style="1" customWidth="1"/>
    <col min="15874" max="16125" width="8.85546875" style="1"/>
    <col min="16126" max="16126" width="3.7109375" style="1" customWidth="1"/>
    <col min="16127" max="16127" width="15.140625" style="1" customWidth="1"/>
    <col min="16128" max="16128" width="31.42578125" style="1" bestFit="1" customWidth="1"/>
    <col min="16129" max="16129" width="38.7109375" style="1" customWidth="1"/>
    <col min="16130" max="16384" width="8.85546875" style="1"/>
  </cols>
  <sheetData>
    <row r="2" spans="1:4" x14ac:dyDescent="0.25">
      <c r="B2" s="11"/>
      <c r="D2" s="6"/>
    </row>
    <row r="3" spans="1:4" x14ac:dyDescent="0.25">
      <c r="B3" s="9"/>
      <c r="D3" s="3"/>
    </row>
    <row r="4" spans="1:4" ht="16.5" x14ac:dyDescent="0.25">
      <c r="B4" s="15"/>
      <c r="C4" s="16"/>
    </row>
    <row r="7" spans="1:4" ht="15.75" x14ac:dyDescent="0.25">
      <c r="B7" s="2"/>
      <c r="C7" s="2"/>
    </row>
    <row r="8" spans="1:4" ht="15.75" x14ac:dyDescent="0.25">
      <c r="A8" s="2"/>
      <c r="B8" s="2208" t="s">
        <v>2</v>
      </c>
      <c r="C8" s="2209" t="s">
        <v>2</v>
      </c>
      <c r="D8" s="2210"/>
    </row>
    <row r="9" spans="1:4" ht="15.75" x14ac:dyDescent="0.25">
      <c r="A9" s="2"/>
      <c r="B9" s="2"/>
      <c r="C9" s="2"/>
      <c r="D9" s="2"/>
    </row>
    <row r="10" spans="1:4" ht="18.75" x14ac:dyDescent="0.3">
      <c r="A10" s="2"/>
      <c r="B10" s="2206" t="s">
        <v>6</v>
      </c>
      <c r="C10" s="2206"/>
      <c r="D10" s="2206"/>
    </row>
    <row r="11" spans="1:4" ht="15.75" x14ac:dyDescent="0.25">
      <c r="A11" s="2"/>
      <c r="B11" s="2"/>
      <c r="C11" s="2"/>
      <c r="D11" s="2"/>
    </row>
    <row r="12" spans="1:4" ht="15.75" x14ac:dyDescent="0.25">
      <c r="A12" s="2"/>
      <c r="B12" s="2207" t="s">
        <v>7</v>
      </c>
      <c r="C12" s="2207"/>
      <c r="D12" s="2207"/>
    </row>
    <row r="13" spans="1:4" ht="15.75" x14ac:dyDescent="0.25">
      <c r="A13" s="2"/>
      <c r="B13" s="5" t="s">
        <v>0</v>
      </c>
      <c r="C13" s="4" t="s">
        <v>4</v>
      </c>
      <c r="D13" s="4" t="s">
        <v>3</v>
      </c>
    </row>
    <row r="14" spans="1:4" x14ac:dyDescent="0.25">
      <c r="B14" s="17">
        <v>1</v>
      </c>
      <c r="C14" s="13" t="s">
        <v>8</v>
      </c>
      <c r="D14" s="18" t="s">
        <v>9</v>
      </c>
    </row>
    <row r="15" spans="1:4" x14ac:dyDescent="0.25">
      <c r="B15" s="19">
        <v>2</v>
      </c>
      <c r="C15" s="13" t="s">
        <v>10</v>
      </c>
      <c r="D15" s="20" t="s">
        <v>11</v>
      </c>
    </row>
    <row r="16" spans="1:4" x14ac:dyDescent="0.25">
      <c r="B16" s="21">
        <v>3</v>
      </c>
      <c r="C16" s="13" t="s">
        <v>12</v>
      </c>
      <c r="D16" s="22" t="s">
        <v>13</v>
      </c>
    </row>
    <row r="17" spans="1:4" x14ac:dyDescent="0.25">
      <c r="B17" s="23">
        <v>4</v>
      </c>
      <c r="C17" s="13" t="s">
        <v>14</v>
      </c>
      <c r="D17" s="24" t="s">
        <v>15</v>
      </c>
    </row>
    <row r="18" spans="1:4" x14ac:dyDescent="0.25">
      <c r="B18" s="25">
        <v>5</v>
      </c>
      <c r="C18" s="13" t="s">
        <v>16</v>
      </c>
      <c r="D18" s="26" t="s">
        <v>17</v>
      </c>
    </row>
    <row r="19" spans="1:4" x14ac:dyDescent="0.25">
      <c r="B19" s="27">
        <v>6</v>
      </c>
      <c r="C19" s="13" t="s">
        <v>18</v>
      </c>
      <c r="D19" s="28" t="s">
        <v>19</v>
      </c>
    </row>
    <row r="20" spans="1:4" x14ac:dyDescent="0.25">
      <c r="B20" s="29">
        <v>7</v>
      </c>
      <c r="C20" s="13" t="s">
        <v>20</v>
      </c>
      <c r="D20" s="30" t="s">
        <v>21</v>
      </c>
    </row>
    <row r="21" spans="1:4" x14ac:dyDescent="0.25">
      <c r="B21" s="31">
        <v>8</v>
      </c>
      <c r="C21" s="13" t="s">
        <v>22</v>
      </c>
      <c r="D21" s="32" t="s">
        <v>23</v>
      </c>
    </row>
    <row r="23" spans="1:4" ht="15.75" x14ac:dyDescent="0.25">
      <c r="A23" s="2"/>
      <c r="B23" s="10" t="s">
        <v>1</v>
      </c>
      <c r="C23" s="7"/>
    </row>
    <row r="24" spans="1:4" ht="90" x14ac:dyDescent="0.25">
      <c r="B24" s="33" t="s">
        <v>24</v>
      </c>
    </row>
    <row r="25" spans="1:4" x14ac:dyDescent="0.25">
      <c r="A25" s="8"/>
      <c r="B25" s="8"/>
      <c r="C25" s="8"/>
      <c r="D25" s="8"/>
    </row>
    <row r="26" spans="1:4" x14ac:dyDescent="0.25">
      <c r="A26" s="8"/>
      <c r="B26" s="8"/>
      <c r="C26" s="8"/>
      <c r="D26" s="8" t="s">
        <v>25</v>
      </c>
    </row>
    <row r="27" spans="1:4" x14ac:dyDescent="0.25">
      <c r="A27" s="8"/>
      <c r="B27" s="14" t="s">
        <v>26</v>
      </c>
      <c r="C27" s="14" t="s">
        <v>27</v>
      </c>
      <c r="D27" s="14" t="s">
        <v>28</v>
      </c>
    </row>
    <row r="28" spans="1:4" x14ac:dyDescent="0.25">
      <c r="A28" s="8"/>
      <c r="B28" s="8" t="s">
        <v>29</v>
      </c>
      <c r="C28" s="8" t="s">
        <v>29</v>
      </c>
      <c r="D28" s="8" t="s">
        <v>30</v>
      </c>
    </row>
    <row r="29" spans="1:4" x14ac:dyDescent="0.25">
      <c r="A29" s="8"/>
      <c r="B29" s="8"/>
      <c r="C29" s="8"/>
      <c r="D29" s="8"/>
    </row>
    <row r="30" spans="1:4" x14ac:dyDescent="0.25">
      <c r="A30" s="8"/>
      <c r="B30" s="8"/>
      <c r="C30" s="8"/>
      <c r="D30" s="8"/>
    </row>
    <row r="31" spans="1:4" x14ac:dyDescent="0.25">
      <c r="A31" s="8"/>
      <c r="B31" s="8"/>
      <c r="C31" s="8"/>
      <c r="D31" s="8"/>
    </row>
    <row r="32" spans="1:4" x14ac:dyDescent="0.25">
      <c r="A32" s="8"/>
      <c r="B32" s="8"/>
      <c r="C32" s="8"/>
      <c r="D32" s="8"/>
    </row>
    <row r="33" spans="1:4" x14ac:dyDescent="0.25">
      <c r="A33" s="8"/>
      <c r="B33" s="8"/>
      <c r="C33" s="8"/>
      <c r="D33" s="8"/>
    </row>
    <row r="34" spans="1:4" x14ac:dyDescent="0.25">
      <c r="A34" s="8"/>
      <c r="B34" s="8"/>
      <c r="C34" s="8"/>
      <c r="D34" s="8"/>
    </row>
    <row r="35" spans="1:4" x14ac:dyDescent="0.25">
      <c r="A35" s="8"/>
      <c r="B35" s="8"/>
      <c r="C35" s="8"/>
      <c r="D35" s="8"/>
    </row>
    <row r="36" spans="1:4" x14ac:dyDescent="0.25">
      <c r="A36" s="8"/>
      <c r="B36" s="8"/>
      <c r="C36" s="8"/>
      <c r="D36" s="8"/>
    </row>
    <row r="37" spans="1:4" x14ac:dyDescent="0.25">
      <c r="A37" s="8"/>
      <c r="B37" s="8"/>
      <c r="C37" s="8"/>
      <c r="D37" s="8"/>
    </row>
    <row r="38" spans="1:4" x14ac:dyDescent="0.25">
      <c r="A38" s="8"/>
      <c r="B38" s="8"/>
      <c r="C38" s="8"/>
      <c r="D38" s="8"/>
    </row>
    <row r="39" spans="1:4" x14ac:dyDescent="0.25">
      <c r="A39" s="8"/>
      <c r="B39" s="8"/>
      <c r="C39" s="8"/>
      <c r="D39" s="8"/>
    </row>
  </sheetData>
  <mergeCells count="3">
    <mergeCell ref="B10:D10"/>
    <mergeCell ref="B12:D12"/>
    <mergeCell ref="B8:D8"/>
  </mergeCells>
  <hyperlinks>
    <hyperlink ref="D14" location="'BCTCR_06608'!A1" display="BCTCR_06608"/>
    <hyperlink ref="D15" location="'CCTTCR_06609'!A1" display="CCTTCR_06609"/>
    <hyperlink ref="D16" location="'BCKQHDR_06610'!A1" display="BCKQHDR_06610"/>
    <hyperlink ref="D17" location="'BCLCTTRTT_06611'!A1" display="BCLCTTRTT_06611"/>
    <hyperlink ref="D18" location="'PLCTTHDMGUTCKHTT_06612'!A1" display="PLCTTHDMGUTCKHTT_06612"/>
    <hyperlink ref="D19" location="'BCLCTTRGT_06613'!A1" display="BCLCTTRGT_06613"/>
    <hyperlink ref="D20" location="'PLCTTHDMGUTCKHGT_06614'!A1" display="PLCTTHDMGUTCKHGT_06614"/>
    <hyperlink ref="D21" location="'BCTHBDVCSH_06615'!A1" display="BCTHBDVCSH_06615"/>
  </hyperlink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48"/>
  <sheetViews>
    <sheetView workbookViewId="0"/>
  </sheetViews>
  <sheetFormatPr defaultRowHeight="15" x14ac:dyDescent="0.25"/>
  <cols>
    <col min="1" max="1" width="1" style="985" bestFit="1" customWidth="1"/>
    <col min="2" max="5" width="1" bestFit="1" customWidth="1"/>
  </cols>
  <sheetData>
    <row r="5" spans="1:5" x14ac:dyDescent="0.25">
      <c r="A5" t="str">
        <f>CONCATENATE(613933,",",ROW(BCLCTTRTT_06611!A5),"|",COLUMN(BCLCTTRTT_06611!A5),",0",",0")</f>
        <v>613933,5|1,0,0</v>
      </c>
      <c r="B5" t="str">
        <f>CONCATENATE(613926,",",ROW(BCLCTTRTT_06611!B5),"|",COLUMN(BCLCTTRTT_06611!B5),",0",",0")</f>
        <v>613926,5|2,0,0</v>
      </c>
      <c r="C5" t="str">
        <f>CONCATENATE(613978,",",ROW(BCLCTTRTT_06611!C5),"|",COLUMN(BCLCTTRTT_06611!C5),",0",",0")</f>
        <v>613978,5|3,0,0</v>
      </c>
      <c r="D5" t="str">
        <f>CONCATENATE(613927,",",ROW(BCLCTTRTT_06611!D5),"|",COLUMN(BCLCTTRTT_06611!D5),",0",",0")</f>
        <v>613927,5|4,0,0</v>
      </c>
      <c r="E5" t="str">
        <f>CONCATENATE(613964,",",ROW(BCLCTTRTT_06611!E5),"|",COLUMN(BCLCTTRTT_06611!E5),",0",",0")</f>
        <v>613964,5|5,0,0</v>
      </c>
    </row>
    <row r="6" spans="1:5" x14ac:dyDescent="0.25">
      <c r="A6" t="str">
        <f>CONCATENATE(613928,",",ROW(BCLCTTRTT_06611!A6),"|",COLUMN(BCLCTTRTT_06611!A6),",0",",0")</f>
        <v>613928,6|1,0,0</v>
      </c>
      <c r="B6" t="s">
        <v>5</v>
      </c>
      <c r="C6" t="str">
        <f>CONCATENATE(613864,",",ROW(BCLCTTRTT_06611!C6),"|",COLUMN(BCLCTTRTT_06611!C6),",0",",0")</f>
        <v>613864,6|3,0,0</v>
      </c>
      <c r="D6" t="str">
        <f>CONCATENATE(614006,",",ROW(BCLCTTRTT_06611!D6),"|",COLUMN(BCLCTTRTT_06611!D6),",0",",0")</f>
        <v>614006,6|4,0,0</v>
      </c>
      <c r="E6" t="str">
        <f>CONCATENATE(613802,",",ROW(BCLCTTRTT_06611!E6),"|",COLUMN(BCLCTTRTT_06611!E6),",0",",0")</f>
        <v>613802,6|5,0,0</v>
      </c>
    </row>
    <row r="7" spans="1:5" x14ac:dyDescent="0.25">
      <c r="A7" t="str">
        <f>CONCATENATE(613817,",",ROW(BCLCTTRTT_06611!A7),"|",COLUMN(BCLCTTRTT_06611!A7),",0",",0")</f>
        <v>613817,7|1,0,0</v>
      </c>
      <c r="B7" t="str">
        <f>CONCATENATE(613831,",",ROW(BCLCTTRTT_06611!B7),"|",COLUMN(BCLCTTRTT_06611!B7),",0",",0")</f>
        <v>613831,7|2,0,0</v>
      </c>
      <c r="C7" t="str">
        <f>CONCATENATE(613968,",",ROW(BCLCTTRTT_06611!C7),"|",COLUMN(BCLCTTRTT_06611!C7),",0",",0")</f>
        <v>613968,7|3,0,0</v>
      </c>
      <c r="D7" t="str">
        <f>CONCATENATE(613938,",",ROW(BCLCTTRTT_06611!D7),"|",COLUMN(BCLCTTRTT_06611!D7),",0",",0")</f>
        <v>613938,7|4,0,0</v>
      </c>
      <c r="E7" t="str">
        <f>CONCATENATE(613883,",",ROW(BCLCTTRTT_06611!E7),"|",COLUMN(BCLCTTRTT_06611!E7),",0",",0")</f>
        <v>613883,7|5,0,0</v>
      </c>
    </row>
    <row r="8" spans="1:5" x14ac:dyDescent="0.25">
      <c r="A8" t="str">
        <f>CONCATENATE(613966,",",ROW(BCLCTTRTT_06611!A8),"|",COLUMN(BCLCTTRTT_06611!A8),",0",",0")</f>
        <v>613966,8|1,0,0</v>
      </c>
      <c r="B8" t="str">
        <f>CONCATENATE(613832,",",ROW(BCLCTTRTT_06611!B8),"|",COLUMN(BCLCTTRTT_06611!B8),",0",",0")</f>
        <v>613832,8|2,0,0</v>
      </c>
      <c r="C8" t="str">
        <f>CONCATENATE(613849,",",ROW(BCLCTTRTT_06611!C8),"|",COLUMN(BCLCTTRTT_06611!C8),",0",",0")</f>
        <v>613849,8|3,0,0</v>
      </c>
      <c r="D8" t="str">
        <f>CONCATENATE(613991,",",ROW(BCLCTTRTT_06611!D8),"|",COLUMN(BCLCTTRTT_06611!D8),",0",",0")</f>
        <v>613991,8|4,0,0</v>
      </c>
      <c r="E8" t="str">
        <f>CONCATENATE(613908,",",ROW(BCLCTTRTT_06611!E8),"|",COLUMN(BCLCTTRTT_06611!E8),",0",",0")</f>
        <v>613908,8|5,0,0</v>
      </c>
    </row>
    <row r="9" spans="1:5" x14ac:dyDescent="0.25">
      <c r="A9" t="str">
        <f>CONCATENATE(613979,",",ROW(BCLCTTRTT_06611!A9),"|",COLUMN(BCLCTTRTT_06611!A9),",0",",0")</f>
        <v>613979,9|1,0,0</v>
      </c>
      <c r="B9" t="str">
        <f>CONCATENATE(613833,",",ROW(BCLCTTRTT_06611!B9),"|",COLUMN(BCLCTTRTT_06611!B9),",0",",0")</f>
        <v>613833,9|2,0,0</v>
      </c>
      <c r="C9" t="str">
        <f>CONCATENATE(613850,",",ROW(BCLCTTRTT_06611!C9),"|",COLUMN(BCLCTTRTT_06611!C9),",0",",0")</f>
        <v>613850,9|3,0,0</v>
      </c>
      <c r="D9" t="str">
        <f>CONCATENATE(613992,",",ROW(BCLCTTRTT_06611!D9),"|",COLUMN(BCLCTTRTT_06611!D9),",0",",0")</f>
        <v>613992,9|4,0,0</v>
      </c>
      <c r="E9" t="str">
        <f>CONCATENATE(613909,",",ROW(BCLCTTRTT_06611!E9),"|",COLUMN(BCLCTTRTT_06611!E9),",0",",0")</f>
        <v>613909,9|5,0,0</v>
      </c>
    </row>
    <row r="10" spans="1:5" x14ac:dyDescent="0.25">
      <c r="A10" t="str">
        <f>CONCATENATE(613929,",",ROW(BCLCTTRTT_06611!A10),"|",COLUMN(BCLCTTRTT_06611!A10),",0",",0")</f>
        <v>613929,10|1,0,0</v>
      </c>
      <c r="B10" t="str">
        <f>CONCATENATE(613834,",",ROW(BCLCTTRTT_06611!B10),"|",COLUMN(BCLCTTRTT_06611!B10),",0",",0")</f>
        <v>613834,10|2,0,0</v>
      </c>
      <c r="C10" t="str">
        <f>CONCATENATE(613851,",",ROW(BCLCTTRTT_06611!C10),"|",COLUMN(BCLCTTRTT_06611!C10),",0",",0")</f>
        <v>613851,10|3,0,0</v>
      </c>
      <c r="D10" t="str">
        <f>CONCATENATE(613993,",",ROW(BCLCTTRTT_06611!D10),"|",COLUMN(BCLCTTRTT_06611!D10),",0",",0")</f>
        <v>613993,10|4,0,0</v>
      </c>
      <c r="E10" t="str">
        <f>CONCATENATE(613910,",",ROW(BCLCTTRTT_06611!E10),"|",COLUMN(BCLCTTRTT_06611!E10),",0",",0")</f>
        <v>613910,10|5,0,0</v>
      </c>
    </row>
    <row r="11" spans="1:5" x14ac:dyDescent="0.25">
      <c r="A11" t="str">
        <f>CONCATENATE(613980,",",ROW(BCLCTTRTT_06611!A11),"|",COLUMN(BCLCTTRTT_06611!A11),",0",",0")</f>
        <v>613980,11|1,0,0</v>
      </c>
      <c r="B11" t="str">
        <f>CONCATENATE(613835,",",ROW(BCLCTTRTT_06611!B11),"|",COLUMN(BCLCTTRTT_06611!B11),",0",",0")</f>
        <v>613835,11|2,0,0</v>
      </c>
      <c r="C11" t="str">
        <f>CONCATENATE(613852,",",ROW(BCLCTTRTT_06611!C11),"|",COLUMN(BCLCTTRTT_06611!C11),",0",",0")</f>
        <v>613852,11|3,0,0</v>
      </c>
      <c r="D11" t="str">
        <f>CONCATENATE(613994,",",ROW(BCLCTTRTT_06611!D11),"|",COLUMN(BCLCTTRTT_06611!D11),",0",",0")</f>
        <v>613994,11|4,0,0</v>
      </c>
      <c r="E11" t="str">
        <f>CONCATENATE(613911,",",ROW(BCLCTTRTT_06611!E11),"|",COLUMN(BCLCTTRTT_06611!E11),",0",",0")</f>
        <v>613911,11|5,0,0</v>
      </c>
    </row>
    <row r="12" spans="1:5" x14ac:dyDescent="0.25">
      <c r="A12" t="str">
        <f>CONCATENATE(613981,",",ROW(BCLCTTRTT_06611!A12),"|",COLUMN(BCLCTTRTT_06611!A12),",0",",0")</f>
        <v>613981,12|1,0,0</v>
      </c>
      <c r="B12" t="str">
        <f>CONCATENATE(613836,",",ROW(BCLCTTRTT_06611!B12),"|",COLUMN(BCLCTTRTT_06611!B12),",0",",0")</f>
        <v>613836,12|2,0,0</v>
      </c>
      <c r="C12" t="str">
        <f>CONCATENATE(613853,",",ROW(BCLCTTRTT_06611!C12),"|",COLUMN(BCLCTTRTT_06611!C12),",0",",0")</f>
        <v>613853,12|3,0,0</v>
      </c>
      <c r="D12" t="str">
        <f>CONCATENATE(613995,",",ROW(BCLCTTRTT_06611!D12),"|",COLUMN(BCLCTTRTT_06611!D12),",0",",0")</f>
        <v>613995,12|4,0,0</v>
      </c>
      <c r="E12" t="str">
        <f>CONCATENATE(613912,",",ROW(BCLCTTRTT_06611!E12),"|",COLUMN(BCLCTTRTT_06611!E12),",0",",0")</f>
        <v>613912,12|5,0,0</v>
      </c>
    </row>
    <row r="13" spans="1:5" x14ac:dyDescent="0.25">
      <c r="A13" t="str">
        <f>CONCATENATE(613974,",",ROW(BCLCTTRTT_06611!A13),"|",COLUMN(BCLCTTRTT_06611!A13),",0",",0")</f>
        <v>613974,13|1,0,0</v>
      </c>
      <c r="B13" t="str">
        <f>CONCATENATE(613893,",",ROW(BCLCTTRTT_06611!B13),"|",COLUMN(BCLCTTRTT_06611!B13),",0",",0")</f>
        <v>613893,13|2,0,0</v>
      </c>
      <c r="C13" t="str">
        <f>CONCATENATE(613867,",",ROW(BCLCTTRTT_06611!C13),"|",COLUMN(BCLCTTRTT_06611!C13),",0",",0")</f>
        <v>613867,13|3,0,0</v>
      </c>
      <c r="D13" t="str">
        <f>CONCATENATE(614009,",",ROW(BCLCTTRTT_06611!D13),"|",COLUMN(BCLCTTRTT_06611!D13),",0",",0")</f>
        <v>614009,13|4,0,0</v>
      </c>
      <c r="E13" t="str">
        <f>CONCATENATE(613805,",",ROW(BCLCTTRTT_06611!E13),"|",COLUMN(BCLCTTRTT_06611!E13),",0",",0")</f>
        <v>613805,13|5,0,0</v>
      </c>
    </row>
    <row r="14" spans="1:5" x14ac:dyDescent="0.25">
      <c r="A14" t="str">
        <f>CONCATENATE(613962,",",ROW(BCLCTTRTT_06611!A14),"|",COLUMN(BCLCTTRTT_06611!A14),",0",",0")</f>
        <v>613962,14|1,0,0</v>
      </c>
      <c r="B14" t="str">
        <f>CONCATENATE(613886,",",ROW(BCLCTTRTT_06611!B14),"|",COLUMN(BCLCTTRTT_06611!B14),",0",",0")</f>
        <v>613886,14|2,0,0</v>
      </c>
      <c r="C14" t="str">
        <f>CONCATENATE(613865,",",ROW(BCLCTTRTT_06611!C14),"|",COLUMN(BCLCTTRTT_06611!C14),",0",",0")</f>
        <v>613865,14|3,0,0</v>
      </c>
      <c r="D14" t="str">
        <f>CONCATENATE(614007,",",ROW(BCLCTTRTT_06611!D14),"|",COLUMN(BCLCTTRTT_06611!D14),",0",",0")</f>
        <v>614007,14|4,0,0</v>
      </c>
      <c r="E14" t="str">
        <f>CONCATENATE(613803,",",ROW(BCLCTTRTT_06611!E14),"|",COLUMN(BCLCTTRTT_06611!E14),",0",",0")</f>
        <v>613803,14|5,0,0</v>
      </c>
    </row>
    <row r="15" spans="1:5" x14ac:dyDescent="0.25">
      <c r="A15" t="str">
        <f>CONCATENATE(613983,",",ROW(BCLCTTRTT_06611!A15),"|",COLUMN(BCLCTTRTT_06611!A15),",0",",0")</f>
        <v>613983,15|1,0,0</v>
      </c>
      <c r="B15" t="str">
        <f>CONCATENATE(613887,",",ROW(BCLCTTRTT_06611!B15),"|",COLUMN(BCLCTTRTT_06611!B15),",0",",0")</f>
        <v>613887,15|2,0,0</v>
      </c>
      <c r="C15" t="str">
        <f>CONCATENATE(613875,",",ROW(BCLCTTRTT_06611!C15),"|",COLUMN(BCLCTTRTT_06611!C15),",0",",0")</f>
        <v>613875,15|3,0,0</v>
      </c>
      <c r="D15" t="str">
        <f>CONCATENATE(613878,",",ROW(BCLCTTRTT_06611!D15),"|",COLUMN(BCLCTTRTT_06611!D15),",0",",0")</f>
        <v>613878,15|4,0,0</v>
      </c>
      <c r="E15" t="str">
        <f>CONCATENATE(613813,",",ROW(BCLCTTRTT_06611!E15),"|",COLUMN(BCLCTTRTT_06611!E15),",0",",0")</f>
        <v>613813,15|5,0,0</v>
      </c>
    </row>
    <row r="16" spans="1:5" x14ac:dyDescent="0.25">
      <c r="A16" t="str">
        <f>CONCATENATE(613818,",",ROW(BCLCTTRTT_06611!A16),"|",COLUMN(BCLCTTRTT_06611!A16),",0",",0")</f>
        <v>613818,16|1,0,0</v>
      </c>
      <c r="B16" t="str">
        <f>CONCATENATE(613888,",",ROW(BCLCTTRTT_06611!B16),"|",COLUMN(BCLCTTRTT_06611!B16),",0",",0")</f>
        <v>613888,16|2,0,0</v>
      </c>
      <c r="C16" t="str">
        <f>CONCATENATE(613969,",",ROW(BCLCTTRTT_06611!C16),"|",COLUMN(BCLCTTRTT_06611!C16),",0",",0")</f>
        <v>613969,16|3,0,0</v>
      </c>
      <c r="D16" t="str">
        <f>CONCATENATE(613939,",",ROW(BCLCTTRTT_06611!D16),"|",COLUMN(BCLCTTRTT_06611!D16),",0",",0")</f>
        <v>613939,16|4,0,0</v>
      </c>
      <c r="E16" t="str">
        <f>CONCATENATE(613884,",",ROW(BCLCTTRTT_06611!E16),"|",COLUMN(BCLCTTRTT_06611!E16),",0",",0")</f>
        <v>613884,16|5,0,0</v>
      </c>
    </row>
    <row r="17" spans="1:5" x14ac:dyDescent="0.25">
      <c r="A17" t="str">
        <f>CONCATENATE(613982,",",ROW(BCLCTTRTT_06611!A17),"|",COLUMN(BCLCTTRTT_06611!A17),",0",",0")</f>
        <v>613982,17|1,0,0</v>
      </c>
      <c r="B17" t="str">
        <f>CONCATENATE(613889,",",ROW(BCLCTTRTT_06611!B17),"|",COLUMN(BCLCTTRTT_06611!B17),",0",",0")</f>
        <v>613889,17|2,0,0</v>
      </c>
      <c r="C17" t="str">
        <f>CONCATENATE(613874,",",ROW(BCLCTTRTT_06611!C17),"|",COLUMN(BCLCTTRTT_06611!C17),",0",",0")</f>
        <v>613874,17|3,0,0</v>
      </c>
      <c r="D17" t="str">
        <f>CONCATENATE(613877,",",ROW(BCLCTTRTT_06611!D17),"|",COLUMN(BCLCTTRTT_06611!D17),",0",",0")</f>
        <v>613877,17|4,0,0</v>
      </c>
      <c r="E17" t="str">
        <f>CONCATENATE(613812,",",ROW(BCLCTTRTT_06611!E17),"|",COLUMN(BCLCTTRTT_06611!E17),",0",",0")</f>
        <v>613812,17|5,0,0</v>
      </c>
    </row>
    <row r="18" spans="1:5" x14ac:dyDescent="0.25">
      <c r="A18" t="str">
        <f>CONCATENATE(613819,",",ROW(BCLCTTRTT_06611!A18),"|",COLUMN(BCLCTTRTT_06611!A18),",0",",0")</f>
        <v>613819,18|1,0,0</v>
      </c>
      <c r="B18" t="str">
        <f>CONCATENATE(613825,",",ROW(BCLCTTRTT_06611!B18),"|",COLUMN(BCLCTTRTT_06611!B18),",0",",0")</f>
        <v>613825,18|2,0,0</v>
      </c>
      <c r="C18" t="str">
        <f>CONCATENATE(613879,",",ROW(BCLCTTRTT_06611!C18),"|",COLUMN(BCLCTTRTT_06611!C18),",0",",0")</f>
        <v>613879,18|3,0,0</v>
      </c>
      <c r="D18" t="str">
        <f>CONCATENATE(613940,",",ROW(BCLCTTRTT_06611!D18),"|",COLUMN(BCLCTTRTT_06611!D18),",0",",0")</f>
        <v>613940,18|4,0,0</v>
      </c>
      <c r="E18" t="str">
        <f>CONCATENATE(613898,",",ROW(BCLCTTRTT_06611!E18),"|",COLUMN(BCLCTTRTT_06611!E18),",0",",0")</f>
        <v>613898,18|5,0,0</v>
      </c>
    </row>
    <row r="19" spans="1:5" x14ac:dyDescent="0.25">
      <c r="A19" t="str">
        <f>CONCATENATE(613820,",",ROW(BCLCTTRTT_06611!A19),"|",COLUMN(BCLCTTRTT_06611!A19),",0",",0")</f>
        <v>613820,19|1,0,0</v>
      </c>
      <c r="B19" t="str">
        <f>CONCATENATE(613894,",",ROW(BCLCTTRTT_06611!B19),"|",COLUMN(BCLCTTRTT_06611!B19),",0",",0")</f>
        <v>613894,19|2,0,0</v>
      </c>
      <c r="C19" t="str">
        <f>CONCATENATE(613970,",",ROW(BCLCTTRTT_06611!C19),"|",COLUMN(BCLCTTRTT_06611!C19),",0",",0")</f>
        <v>613970,19|3,0,0</v>
      </c>
      <c r="D19" t="str">
        <f>CONCATENATE(613941,",",ROW(BCLCTTRTT_06611!D19),"|",COLUMN(BCLCTTRTT_06611!D19),",0",",0")</f>
        <v>613941,19|4,0,0</v>
      </c>
      <c r="E19" t="str">
        <f>CONCATENATE(613899,",",ROW(BCLCTTRTT_06611!E19),"|",COLUMN(BCLCTTRTT_06611!E19),",0",",0")</f>
        <v>613899,19|5,0,0</v>
      </c>
    </row>
    <row r="20" spans="1:5" x14ac:dyDescent="0.25">
      <c r="A20" t="str">
        <f>CONCATENATE(613984,",",ROW(BCLCTTRTT_06611!A20),"|",COLUMN(BCLCTTRTT_06611!A20),",0",",0")</f>
        <v>613984,20|1,0,0</v>
      </c>
      <c r="B20" t="s">
        <v>5</v>
      </c>
      <c r="C20" t="str">
        <f>CONCATENATE(613935,",",ROW(BCLCTTRTT_06611!C20),"|",COLUMN(BCLCTTRTT_06611!C20),",0",",0")</f>
        <v>613935,20|3,0,0</v>
      </c>
      <c r="D20" t="str">
        <f>CONCATENATE(613880,",",ROW(BCLCTTRTT_06611!D20),"|",COLUMN(BCLCTTRTT_06611!D20),",0",",0")</f>
        <v>613880,20|4,0,0</v>
      </c>
      <c r="E20" t="str">
        <f>CONCATENATE(613814,",",ROW(BCLCTTRTT_06611!E20),"|",COLUMN(BCLCTTRTT_06611!E20),",0",",0")</f>
        <v>613814,20|5,0,0</v>
      </c>
    </row>
    <row r="21" spans="1:5" x14ac:dyDescent="0.25">
      <c r="A21" t="str">
        <f>CONCATENATE(613842,",",ROW(BCLCTTRTT_06611!A21),"|",COLUMN(BCLCTTRTT_06611!A21),",0",",0")</f>
        <v>613842,21|1,0,0</v>
      </c>
      <c r="B21" t="str">
        <f>CONCATENATE(613955,",",ROW(BCLCTTRTT_06611!B21),"|",COLUMN(BCLCTTRTT_06611!B21),",0",",0")</f>
        <v>613955,21|2,0,0</v>
      </c>
      <c r="C21" t="str">
        <f>CONCATENATE(613859,",",ROW(BCLCTTRTT_06611!C21),"|",COLUMN(BCLCTTRTT_06611!C21),",0",",0")</f>
        <v>613859,21|3,0,0</v>
      </c>
      <c r="D21" t="str">
        <f>CONCATENATE(614001,",",ROW(BCLCTTRTT_06611!D21),"|",COLUMN(BCLCTTRTT_06611!D21),",0",",0")</f>
        <v>614001,21|4,0,0</v>
      </c>
      <c r="E21" t="str">
        <f>CONCATENATE(613961,",",ROW(BCLCTTRTT_06611!E21),"|",COLUMN(BCLCTTRTT_06611!E21),",0",",0")</f>
        <v>613961,21|5,0,0</v>
      </c>
    </row>
    <row r="22" spans="1:5" x14ac:dyDescent="0.25">
      <c r="A22" t="str">
        <f>CONCATENATE(613843,",",ROW(BCLCTTRTT_06611!A22),"|",COLUMN(BCLCTTRTT_06611!A22),",0",",0")</f>
        <v>613843,22|1,0,0</v>
      </c>
      <c r="B22" t="str">
        <f>CONCATENATE(613956,",",ROW(BCLCTTRTT_06611!B22),"|",COLUMN(BCLCTTRTT_06611!B22),",0",",0")</f>
        <v>613956,22|2,0,0</v>
      </c>
      <c r="C22" t="str">
        <f>CONCATENATE(613868,",",ROW(BCLCTTRTT_06611!C22),"|",COLUMN(BCLCTTRTT_06611!C22),",0",",0")</f>
        <v>613868,22|3,0,0</v>
      </c>
      <c r="D22" t="str">
        <f>CONCATENATE(614010,",",ROW(BCLCTTRTT_06611!D22),"|",COLUMN(BCLCTTRTT_06611!D22),",0",",0")</f>
        <v>614010,22|4,0,0</v>
      </c>
      <c r="E22" t="str">
        <f>CONCATENATE(613806,",",ROW(BCLCTTRTT_06611!E22),"|",COLUMN(BCLCTTRTT_06611!E22),",0",",0")</f>
        <v>613806,22|5,0,0</v>
      </c>
    </row>
    <row r="23" spans="1:5" x14ac:dyDescent="0.25">
      <c r="A23" t="str">
        <f>CONCATENATE(613931,",",ROW(BCLCTTRTT_06611!A23),"|",COLUMN(BCLCTTRTT_06611!A23),",0",",0")</f>
        <v>613931,23|1,0,0</v>
      </c>
      <c r="B23" t="str">
        <f>CONCATENATE(613932,",",ROW(BCLCTTRTT_06611!B23),"|",COLUMN(BCLCTTRTT_06611!B23),",0",",0")</f>
        <v>613932,23|2,0,0</v>
      </c>
      <c r="C23" t="str">
        <f>CONCATENATE(613937,",",ROW(BCLCTTRTT_06611!C23),"|",COLUMN(BCLCTTRTT_06611!C23),",0",",0")</f>
        <v>613937,23|3,0,0</v>
      </c>
      <c r="D23" t="str">
        <f>CONCATENATE(613882,",",ROW(BCLCTTRTT_06611!D23),"|",COLUMN(BCLCTTRTT_06611!D23),",0",",0")</f>
        <v>613882,23|4,0,0</v>
      </c>
      <c r="E23" t="str">
        <f>CONCATENATE(613816,",",ROW(BCLCTTRTT_06611!E23),"|",COLUMN(BCLCTTRTT_06611!E23),",0",",0")</f>
        <v>613816,23|5,0,0</v>
      </c>
    </row>
    <row r="24" spans="1:5" x14ac:dyDescent="0.25">
      <c r="A24" t="str">
        <f>CONCATENATE(613934,",",ROW(BCLCTTRTT_06611!A24),"|",COLUMN(BCLCTTRTT_06611!A24),",0",",0")</f>
        <v>613934,24|1,0,0</v>
      </c>
      <c r="B24" t="str">
        <f>CONCATENATE(613967,",",ROW(BCLCTTRTT_06611!B24),"|",COLUMN(BCLCTTRTT_06611!B24),",0",",0")</f>
        <v>613967,24|2,0,0</v>
      </c>
      <c r="C24" t="str">
        <f>CONCATENATE(613936,",",ROW(BCLCTTRTT_06611!C24),"|",COLUMN(BCLCTTRTT_06611!C24),",0",",0")</f>
        <v>613936,24|3,0,0</v>
      </c>
      <c r="D24" t="str">
        <f>CONCATENATE(613881,",",ROW(BCLCTTRTT_06611!D24),"|",COLUMN(BCLCTTRTT_06611!D24),",0",",0")</f>
        <v>613881,24|4,0,0</v>
      </c>
      <c r="E24" t="str">
        <f>CONCATENATE(613815,",",ROW(BCLCTTRTT_06611!E24),"|",COLUMN(BCLCTTRTT_06611!E24),",0",",0")</f>
        <v>613815,24|5,0,0</v>
      </c>
    </row>
    <row r="25" spans="1:5" x14ac:dyDescent="0.25">
      <c r="A25" t="str">
        <f>CONCATENATE(613985,",",ROW(BCLCTTRTT_06611!A25),"|",COLUMN(BCLCTTRTT_06611!A25),",0",",0")</f>
        <v>613985,25|1,0,0</v>
      </c>
      <c r="B25" t="str">
        <f>CONCATENATE(613957,",",ROW(BCLCTTRTT_06611!B25),"|",COLUMN(BCLCTTRTT_06611!B25),",0",",0")</f>
        <v>613957,25|2,0,0</v>
      </c>
      <c r="C25" t="str">
        <f>CONCATENATE(613872,",",ROW(BCLCTTRTT_06611!C25),"|",COLUMN(BCLCTTRTT_06611!C25),",0",",0")</f>
        <v>613872,25|3,0,0</v>
      </c>
      <c r="D25" t="str">
        <f>CONCATENATE(614014,",",ROW(BCLCTTRTT_06611!D25),"|",COLUMN(BCLCTTRTT_06611!D25),",0",",0")</f>
        <v>614014,25|4,0,0</v>
      </c>
      <c r="E25" t="str">
        <f>CONCATENATE(613810,",",ROW(BCLCTTRTT_06611!E25),"|",COLUMN(BCLCTTRTT_06611!E25),",0",",0")</f>
        <v>613810,25|5,0,0</v>
      </c>
    </row>
    <row r="26" spans="1:5" x14ac:dyDescent="0.25">
      <c r="A26" t="str">
        <f>CONCATENATE(613917,",",ROW(BCLCTTRTT_06611!A26),"|",COLUMN(BCLCTTRTT_06611!A26),",0",",0")</f>
        <v>613917,26|1,0,0</v>
      </c>
      <c r="B26" t="str">
        <f>CONCATENATE(613826,",",ROW(BCLCTTRTT_06611!B26),"|",COLUMN(BCLCTTRTT_06611!B26),",0",",0")</f>
        <v>613826,26|2,0,0</v>
      </c>
      <c r="C26" t="str">
        <f>CONCATENATE(613844,",",ROW(BCLCTTRTT_06611!C26),"|",COLUMN(BCLCTTRTT_06611!C26),",0",",0")</f>
        <v>613844,26|3,0,0</v>
      </c>
      <c r="D26" t="str">
        <f>CONCATENATE(613946,",",ROW(BCLCTTRTT_06611!D26),"|",COLUMN(BCLCTTRTT_06611!D26),",0",",0")</f>
        <v>613946,26|4,0,0</v>
      </c>
      <c r="E26" t="str">
        <f>CONCATENATE(613903,",",ROW(BCLCTTRTT_06611!E26),"|",COLUMN(BCLCTTRTT_06611!E26),",0",",0")</f>
        <v>613903,26|5,0,0</v>
      </c>
    </row>
    <row r="27" spans="1:5" x14ac:dyDescent="0.25">
      <c r="A27" t="str">
        <f>CONCATENATE(613930,",",ROW(BCLCTTRTT_06611!A27),"|",COLUMN(BCLCTTRTT_06611!A27),",0",",0")</f>
        <v>613930,27|1,0,0</v>
      </c>
      <c r="B27" t="s">
        <v>5</v>
      </c>
      <c r="C27" t="str">
        <f>CONCATENATE(613845,",",ROW(BCLCTTRTT_06611!C27),"|",COLUMN(BCLCTTRTT_06611!C27),",0",",0")</f>
        <v>613845,27|3,0,0</v>
      </c>
      <c r="D27" t="str">
        <f>CONCATENATE(613947,",",ROW(BCLCTTRTT_06611!D27),"|",COLUMN(BCLCTTRTT_06611!D27),",0",",0")</f>
        <v>613947,27|4,0,0</v>
      </c>
      <c r="E27" t="str">
        <f>CONCATENATE(613904,",",ROW(BCLCTTRTT_06611!E27),"|",COLUMN(BCLCTTRTT_06611!E27),",0",",0")</f>
        <v>613904,27|5,0,0</v>
      </c>
    </row>
    <row r="28" spans="1:5" x14ac:dyDescent="0.25">
      <c r="A28" t="str">
        <f>CONCATENATE(613821,",",ROW(BCLCTTRTT_06611!A28),"|",COLUMN(BCLCTTRTT_06611!A28),",0",",0")</f>
        <v>613821,28|1,0,0</v>
      </c>
      <c r="B28" t="str">
        <f>CONCATENATE(613827,",",ROW(BCLCTTRTT_06611!B28),"|",COLUMN(BCLCTTRTT_06611!B28),",0",",0")</f>
        <v>613827,28|2,0,0</v>
      </c>
      <c r="C28" t="str">
        <f>CONCATENATE(613971,",",ROW(BCLCTTRTT_06611!C28),"|",COLUMN(BCLCTTRTT_06611!C28),",0",",0")</f>
        <v>613971,28|3,0,0</v>
      </c>
      <c r="D28" t="str">
        <f>CONCATENATE(613942,",",ROW(BCLCTTRTT_06611!D28),"|",COLUMN(BCLCTTRTT_06611!D28),",0",",0")</f>
        <v>613942,28|4,0,0</v>
      </c>
      <c r="E28" t="str">
        <f>CONCATENATE(613900,",",ROW(BCLCTTRTT_06611!E28),"|",COLUMN(BCLCTTRTT_06611!E28),",0",",0")</f>
        <v>613900,28|5,0,0</v>
      </c>
    </row>
    <row r="29" spans="1:5" x14ac:dyDescent="0.25">
      <c r="A29" t="str">
        <f>CONCATENATE(613949,",",ROW(BCLCTTRTT_06611!A29),"|",COLUMN(BCLCTTRTT_06611!A29),",0",",0")</f>
        <v>613949,29|1,0,0</v>
      </c>
      <c r="B29" t="str">
        <f>CONCATENATE(613895,",",ROW(BCLCTTRTT_06611!B29),"|",COLUMN(BCLCTTRTT_06611!B29),",0",",0")</f>
        <v>613895,29|2,0,0</v>
      </c>
      <c r="C29" t="str">
        <f>CONCATENATE(613869,",",ROW(BCLCTTRTT_06611!C29),"|",COLUMN(BCLCTTRTT_06611!C29),",0",",0")</f>
        <v>613869,29|3,0,0</v>
      </c>
      <c r="D29" t="str">
        <f>CONCATENATE(614011,",",ROW(BCLCTTRTT_06611!D29),"|",COLUMN(BCLCTTRTT_06611!D29),",0",",0")</f>
        <v>614011,29|4,0,0</v>
      </c>
      <c r="E29" t="str">
        <f>CONCATENATE(613807,",",ROW(BCLCTTRTT_06611!E29),"|",COLUMN(BCLCTTRTT_06611!E29),",0",",0")</f>
        <v>613807,29|5,0,0</v>
      </c>
    </row>
    <row r="30" spans="1:5" x14ac:dyDescent="0.25">
      <c r="A30" t="str">
        <f>CONCATENATE(613822,",",ROW(BCLCTTRTT_06611!A30),"|",COLUMN(BCLCTTRTT_06611!A30),",0",",0")</f>
        <v>613822,30|1,0,0</v>
      </c>
      <c r="B30" t="str">
        <f>CONCATENATE(613890,",",ROW(BCLCTTRTT_06611!B30),"|",COLUMN(BCLCTTRTT_06611!B30),",0",",0")</f>
        <v>613890,30|2,0,0</v>
      </c>
      <c r="C30" t="str">
        <f>CONCATENATE(613972,",",ROW(BCLCTTRTT_06611!C30),"|",COLUMN(BCLCTTRTT_06611!C30),",0",",0")</f>
        <v>613972,30|3,0,0</v>
      </c>
      <c r="D30" t="str">
        <f>CONCATENATE(613943,",",ROW(BCLCTTRTT_06611!D30),"|",COLUMN(BCLCTTRTT_06611!D30),",0",",0")</f>
        <v>613943,30|4,0,0</v>
      </c>
      <c r="E30" t="str">
        <f>CONCATENATE(613965,",",ROW(BCLCTTRTT_06611!E30),"|",COLUMN(BCLCTTRTT_06611!E30),",0",",0")</f>
        <v>613965,30|5,0,0</v>
      </c>
    </row>
    <row r="31" spans="1:5" x14ac:dyDescent="0.25">
      <c r="A31" t="str">
        <f>CONCATENATE(613950,",",ROW(BCLCTTRTT_06611!A31),"|",COLUMN(BCLCTTRTT_06611!A31),",0",",0")</f>
        <v>613950,31|1,0,0</v>
      </c>
      <c r="B31" t="str">
        <f>CONCATENATE(613837,",",ROW(BCLCTTRTT_06611!B31),"|",COLUMN(BCLCTTRTT_06611!B31),",0",",0")</f>
        <v>613837,31|2,0,0</v>
      </c>
      <c r="C31" t="str">
        <f>CONCATENATE(613854,",",ROW(BCLCTTRTT_06611!C31),"|",COLUMN(BCLCTTRTT_06611!C31),",0",",0")</f>
        <v>613854,31|3,0,0</v>
      </c>
      <c r="D31" t="str">
        <f>CONCATENATE(613996,",",ROW(BCLCTTRTT_06611!D31),"|",COLUMN(BCLCTTRTT_06611!D31),",0",",0")</f>
        <v>613996,31|4,0,0</v>
      </c>
      <c r="E31" t="str">
        <f>CONCATENATE(613913,",",ROW(BCLCTTRTT_06611!E31),"|",COLUMN(BCLCTTRTT_06611!E31),",0",",0")</f>
        <v>613913,31|5,0,0</v>
      </c>
    </row>
    <row r="32" spans="1:5" x14ac:dyDescent="0.25">
      <c r="A32" t="str">
        <f>CONCATENATE(613918,",",ROW(BCLCTTRTT_06611!A32),"|",COLUMN(BCLCTTRTT_06611!A32),",0",",0")</f>
        <v>613918,32|1,0,0</v>
      </c>
      <c r="B32" t="str">
        <f>CONCATENATE(613896,",",ROW(BCLCTTRTT_06611!B32),"|",COLUMN(BCLCTTRTT_06611!B32),",0",",0")</f>
        <v>613896,32|2,0,0</v>
      </c>
      <c r="C32" t="str">
        <f>CONCATENATE(613860,",",ROW(BCLCTTRTT_06611!C32),"|",COLUMN(BCLCTTRTT_06611!C32),",0",",0")</f>
        <v>613860,32|3,0,0</v>
      </c>
      <c r="D32" t="str">
        <f>CONCATENATE(614002,",",ROW(BCLCTTRTT_06611!D32),"|",COLUMN(BCLCTTRTT_06611!D32),",0",",0")</f>
        <v>614002,32|4,0,0</v>
      </c>
      <c r="E32" t="str">
        <f>CONCATENATE(613798,",",ROW(BCLCTTRTT_06611!E32),"|",COLUMN(BCLCTTRTT_06611!E32),",0",",0")</f>
        <v>613798,32|5,0,0</v>
      </c>
    </row>
    <row r="33" spans="1:5" x14ac:dyDescent="0.25">
      <c r="A33" t="str">
        <f>CONCATENATE(613823,",",ROW(BCLCTTRTT_06611!A33),"|",COLUMN(BCLCTTRTT_06611!A33),",0",",0")</f>
        <v>613823,33|1,0,0</v>
      </c>
      <c r="B33" t="str">
        <f>CONCATENATE(613958,",",ROW(BCLCTTRTT_06611!B33),"|",COLUMN(BCLCTTRTT_06611!B33),",0",",0")</f>
        <v>613958,33|2,0,0</v>
      </c>
      <c r="C33" t="str">
        <f>CONCATENATE(613973,",",ROW(BCLCTTRTT_06611!C33),"|",COLUMN(BCLCTTRTT_06611!C33),",0",",0")</f>
        <v>613973,33|3,0,0</v>
      </c>
      <c r="D33" t="str">
        <f>CONCATENATE(613944,",",ROW(BCLCTTRTT_06611!D33),"|",COLUMN(BCLCTTRTT_06611!D33),",0",",0")</f>
        <v>613944,33|4,0,0</v>
      </c>
      <c r="E33" t="str">
        <f>CONCATENATE(613901,",",ROW(BCLCTTRTT_06611!E33),"|",COLUMN(BCLCTTRTT_06611!E33),",0",",0")</f>
        <v>613901,33|5,0,0</v>
      </c>
    </row>
    <row r="34" spans="1:5" x14ac:dyDescent="0.25">
      <c r="A34" t="str">
        <f>CONCATENATE(613924,",",ROW(BCLCTTRTT_06611!A34),"|",COLUMN(BCLCTTRTT_06611!A34),",0",",0")</f>
        <v>613924,34|1,0,0</v>
      </c>
      <c r="B34" t="str">
        <f>CONCATENATE(613838,",",ROW(BCLCTTRTT_06611!B34),"|",COLUMN(BCLCTTRTT_06611!B34),",0",",0")</f>
        <v>613838,34|2,0,0</v>
      </c>
      <c r="C34" t="str">
        <f>CONCATENATE(613855,",",ROW(BCLCTTRTT_06611!C34),"|",COLUMN(BCLCTTRTT_06611!C34),",0",",0")</f>
        <v>613855,34|3,0,0</v>
      </c>
      <c r="D34" t="str">
        <f>CONCATENATE(613997,",",ROW(BCLCTTRTT_06611!D34),"|",COLUMN(BCLCTTRTT_06611!D34),",0",",0")</f>
        <v>613997,34|4,0,0</v>
      </c>
      <c r="E34" t="str">
        <f>CONCATENATE(613914,",",ROW(BCLCTTRTT_06611!E34),"|",COLUMN(BCLCTTRTT_06611!E34),",0",",0")</f>
        <v>613914,34|5,0,0</v>
      </c>
    </row>
    <row r="35" spans="1:5" x14ac:dyDescent="0.25">
      <c r="A35" t="str">
        <f>CONCATENATE(613951,",",ROW(BCLCTTRTT_06611!A35),"|",COLUMN(BCLCTTRTT_06611!A35),",0",",0")</f>
        <v>613951,35|1,0,0</v>
      </c>
      <c r="B35" t="str">
        <f>CONCATENATE(613828,",",ROW(BCLCTTRTT_06611!B35),"|",COLUMN(BCLCTTRTT_06611!B35),",0",",0")</f>
        <v>613828,35|2,0,0</v>
      </c>
      <c r="C35" t="str">
        <f>CONCATENATE(613846,",",ROW(BCLCTTRTT_06611!C35),"|",COLUMN(BCLCTTRTT_06611!C35),",0",",0")</f>
        <v>613846,35|3,0,0</v>
      </c>
      <c r="D35" t="str">
        <f>CONCATENATE(613948,",",ROW(BCLCTTRTT_06611!D35),"|",COLUMN(BCLCTTRTT_06611!D35),",0",",0")</f>
        <v>613948,35|4,0,0</v>
      </c>
      <c r="E35" t="str">
        <f>CONCATENATE(613905,",",ROW(BCLCTTRTT_06611!E35),"|",COLUMN(BCLCTTRTT_06611!E35),",0",",0")</f>
        <v>613905,35|5,0,0</v>
      </c>
    </row>
    <row r="36" spans="1:5" x14ac:dyDescent="0.25">
      <c r="A36" t="str">
        <f>CONCATENATE(613952,",",ROW(BCLCTTRTT_06611!A36),"|",COLUMN(BCLCTTRTT_06611!A36),",0",",0")</f>
        <v>613952,36|1,0,0</v>
      </c>
      <c r="B36" t="str">
        <f>CONCATENATE(613897,",",ROW(BCLCTTRTT_06611!B36),"|",COLUMN(BCLCTTRTT_06611!B36),",0",",0")</f>
        <v>613897,36|2,0,0</v>
      </c>
      <c r="C36" t="str">
        <f>CONCATENATE(613870,",",ROW(BCLCTTRTT_06611!C36),"|",COLUMN(BCLCTTRTT_06611!C36),",0",",0")</f>
        <v>613870,36|3,0,0</v>
      </c>
      <c r="D36" t="str">
        <f>CONCATENATE(614012,",",ROW(BCLCTTRTT_06611!D36),"|",COLUMN(BCLCTTRTT_06611!D36),",0",",0")</f>
        <v>614012,36|4,0,0</v>
      </c>
      <c r="E36" t="str">
        <f>CONCATENATE(613808,",",ROW(BCLCTTRTT_06611!E36),"|",COLUMN(BCLCTTRTT_06611!E36),",0",",0")</f>
        <v>613808,36|5,0,0</v>
      </c>
    </row>
    <row r="37" spans="1:5" x14ac:dyDescent="0.25">
      <c r="A37" t="str">
        <f>CONCATENATE(613953,",",ROW(BCLCTTRTT_06611!A37),"|",COLUMN(BCLCTTRTT_06611!A37),",0",",0")</f>
        <v>613953,37|1,0,0</v>
      </c>
      <c r="B37" t="str">
        <f>CONCATENATE(613839,",",ROW(BCLCTTRTT_06611!B37),"|",COLUMN(BCLCTTRTT_06611!B37),",0",",0")</f>
        <v>613839,37|2,0,0</v>
      </c>
      <c r="C37" t="str">
        <f>CONCATENATE(613856,",",ROW(BCLCTTRTT_06611!C37),"|",COLUMN(BCLCTTRTT_06611!C37),",0",",0")</f>
        <v>613856,37|3,0,0</v>
      </c>
      <c r="D37" t="str">
        <f>CONCATENATE(613998,",",ROW(BCLCTTRTT_06611!D37),"|",COLUMN(BCLCTTRTT_06611!D37),",0",",0")</f>
        <v>613998,37|4,0,0</v>
      </c>
      <c r="E37" t="str">
        <f>CONCATENATE(613915,",",ROW(BCLCTTRTT_06611!E37),"|",COLUMN(BCLCTTRTT_06611!E37),",0",",0")</f>
        <v>613915,37|5,0,0</v>
      </c>
    </row>
    <row r="38" spans="1:5" x14ac:dyDescent="0.25">
      <c r="A38" t="str">
        <f>CONCATENATE(613925,",",ROW(BCLCTTRTT_06611!A38),"|",COLUMN(BCLCTTRTT_06611!A38),",0",",0")</f>
        <v>613925,38|1,0,0</v>
      </c>
      <c r="B38" t="str">
        <f>CONCATENATE(613829,",",ROW(BCLCTTRTT_06611!B38),"|",COLUMN(BCLCTTRTT_06611!B38),",0",",0")</f>
        <v>613829,38|2,0,0</v>
      </c>
      <c r="C38" t="str">
        <f>CONCATENATE(613847,",",ROW(BCLCTTRTT_06611!C38),"|",COLUMN(BCLCTTRTT_06611!C38),",0",",0")</f>
        <v>613847,38|3,0,0</v>
      </c>
      <c r="D38" t="str">
        <f>CONCATENATE(613989,",",ROW(BCLCTTRTT_06611!D38),"|",COLUMN(BCLCTTRTT_06611!D38),",0",",0")</f>
        <v>613989,38|4,0,0</v>
      </c>
      <c r="E38" t="str">
        <f>CONCATENATE(613906,",",ROW(BCLCTTRTT_06611!E38),"|",COLUMN(BCLCTTRTT_06611!E38),",0",",0")</f>
        <v>613906,38|5,0,0</v>
      </c>
    </row>
    <row r="39" spans="1:5" x14ac:dyDescent="0.25">
      <c r="A39" t="str">
        <f>CONCATENATE(613963,",",ROW(BCLCTTRTT_06611!A39),"|",COLUMN(BCLCTTRTT_06611!A39),",0",",0")</f>
        <v>613963,39|1,0,0</v>
      </c>
      <c r="B39" t="str">
        <f>CONCATENATE(613986,",",ROW(BCLCTTRTT_06611!B39),"|",COLUMN(BCLCTTRTT_06611!B39),",0",",0")</f>
        <v>613986,39|2,0,0</v>
      </c>
      <c r="C39" t="str">
        <f>CONCATENATE(613866,",",ROW(BCLCTTRTT_06611!C39),"|",COLUMN(BCLCTTRTT_06611!C39),",0",",0")</f>
        <v>613866,39|3,0,0</v>
      </c>
      <c r="D39" t="str">
        <f>CONCATENATE(614008,",",ROW(BCLCTTRTT_06611!D39),"|",COLUMN(BCLCTTRTT_06611!D39),",0",",0")</f>
        <v>614008,39|4,0,0</v>
      </c>
      <c r="E39" t="str">
        <f>CONCATENATE(613804,",",ROW(BCLCTTRTT_06611!E39),"|",COLUMN(BCLCTTRTT_06611!E39),",0",",0")</f>
        <v>613804,39|5,0,0</v>
      </c>
    </row>
    <row r="40" spans="1:5" x14ac:dyDescent="0.25">
      <c r="A40" t="str">
        <f>CONCATENATE(613919,",",ROW(BCLCTTRTT_06611!A40),"|",COLUMN(BCLCTTRTT_06611!A40),",0",",0")</f>
        <v>613919,40|1,0,0</v>
      </c>
      <c r="B40" t="str">
        <f>CONCATENATE(613840,",",ROW(BCLCTTRTT_06611!B40),"|",COLUMN(BCLCTTRTT_06611!B40),",0",",0")</f>
        <v>613840,40|2,0,0</v>
      </c>
      <c r="C40" t="str">
        <f>CONCATENATE(613857,",",ROW(BCLCTTRTT_06611!C40),"|",COLUMN(BCLCTTRTT_06611!C40),",0",",0")</f>
        <v>613857,40|3,0,0</v>
      </c>
      <c r="D40" t="str">
        <f>CONCATENATE(613999,",",ROW(BCLCTTRTT_06611!D40),"|",COLUMN(BCLCTTRTT_06611!D40),",0",",0")</f>
        <v>613999,40|4,0,0</v>
      </c>
      <c r="E40" t="str">
        <f>CONCATENATE(613916,",",ROW(BCLCTTRTT_06611!E40),"|",COLUMN(BCLCTTRTT_06611!E40),",0",",0")</f>
        <v>613916,40|5,0,0</v>
      </c>
    </row>
    <row r="41" spans="1:5" x14ac:dyDescent="0.25">
      <c r="A41" t="str">
        <f>CONCATENATE(613920,",",ROW(BCLCTTRTT_06611!A41),"|",COLUMN(BCLCTTRTT_06611!A41),",0",",0")</f>
        <v>613920,41|1,0,0</v>
      </c>
      <c r="B41" t="str">
        <f>CONCATENATE(613830,",",ROW(BCLCTTRTT_06611!B41),"|",COLUMN(BCLCTTRTT_06611!B41),",0",",0")</f>
        <v>613830,41|2,0,0</v>
      </c>
      <c r="C41" t="str">
        <f>CONCATENATE(613848,",",ROW(BCLCTTRTT_06611!C41),"|",COLUMN(BCLCTTRTT_06611!C41),",0",",0")</f>
        <v>613848,41|3,0,0</v>
      </c>
      <c r="D41" t="str">
        <f>CONCATENATE(613990,",",ROW(BCLCTTRTT_06611!D41),"|",COLUMN(BCLCTTRTT_06611!D41),",0",",0")</f>
        <v>613990,41|4,0,0</v>
      </c>
      <c r="E41" t="str">
        <f>CONCATENATE(613907,",",ROW(BCLCTTRTT_06611!E41),"|",COLUMN(BCLCTTRTT_06611!E41),",0",",0")</f>
        <v>613907,41|5,0,0</v>
      </c>
    </row>
    <row r="42" spans="1:5" x14ac:dyDescent="0.25">
      <c r="A42" t="str">
        <f>CONCATENATE(613988,",",ROW(BCLCTTRTT_06611!A42),"|",COLUMN(BCLCTTRTT_06611!A42),",0",",0")</f>
        <v>613988,42|1,0,0</v>
      </c>
      <c r="B42" t="str">
        <f>CONCATENATE(613841,",",ROW(BCLCTTRTT_06611!B42),"|",COLUMN(BCLCTTRTT_06611!B42),",0",",0")</f>
        <v>613841,42|2,0,0</v>
      </c>
      <c r="C42" t="str">
        <f>CONCATENATE(613858,",",ROW(BCLCTTRTT_06611!C42),"|",COLUMN(BCLCTTRTT_06611!C42),",0",",0")</f>
        <v>613858,42|3,0,0</v>
      </c>
      <c r="D42" t="str">
        <f>CONCATENATE(614000,",",ROW(BCLCTTRTT_06611!D42),"|",COLUMN(BCLCTTRTT_06611!D42),",0",",0")</f>
        <v>614000,42|4,0,0</v>
      </c>
      <c r="E42" t="str">
        <f>CONCATENATE(613954,",",ROW(BCLCTTRTT_06611!E42),"|",COLUMN(BCLCTTRTT_06611!E42),",0",",0")</f>
        <v>613954,42|5,0,0</v>
      </c>
    </row>
    <row r="43" spans="1:5" x14ac:dyDescent="0.25">
      <c r="A43" t="str">
        <f>CONCATENATE(613921,",",ROW(BCLCTTRTT_06611!A43),"|",COLUMN(BCLCTTRTT_06611!A43),",0",",0")</f>
        <v>613921,43|1,0,0</v>
      </c>
      <c r="B43" t="str">
        <f>CONCATENATE(613959,",",ROW(BCLCTTRTT_06611!B43),"|",COLUMN(BCLCTTRTT_06611!B43),",0",",0")</f>
        <v>613959,43|2,0,0</v>
      </c>
      <c r="C43" t="str">
        <f>CONCATENATE(613861,",",ROW(BCLCTTRTT_06611!C43),"|",COLUMN(BCLCTTRTT_06611!C43),",0",",0")</f>
        <v>613861,43|3,0,0</v>
      </c>
      <c r="D43" t="str">
        <f>CONCATENATE(614003,",",ROW(BCLCTTRTT_06611!D43),"|",COLUMN(BCLCTTRTT_06611!D43),",0",",0")</f>
        <v>614003,43|4,0,0</v>
      </c>
      <c r="E43" t="str">
        <f>CONCATENATE(613799,",",ROW(BCLCTTRTT_06611!E43),"|",COLUMN(BCLCTTRTT_06611!E43),",0",",0")</f>
        <v>613799,43|5,0,0</v>
      </c>
    </row>
    <row r="44" spans="1:5" x14ac:dyDescent="0.25">
      <c r="A44" t="str">
        <f>CONCATENATE(613824,",",ROW(BCLCTTRTT_06611!A44),"|",COLUMN(BCLCTTRTT_06611!A44),",0",",0")</f>
        <v>613824,44|1,0,0</v>
      </c>
      <c r="B44" t="str">
        <f>CONCATENATE(613891,",",ROW(BCLCTTRTT_06611!B44),"|",COLUMN(BCLCTTRTT_06611!B44),",0",",0")</f>
        <v>613891,44|2,0,0</v>
      </c>
      <c r="C44" t="str">
        <f>CONCATENATE(613975,",",ROW(BCLCTTRTT_06611!C44),"|",COLUMN(BCLCTTRTT_06611!C44),",0",",0")</f>
        <v>613975,44|3,0,0</v>
      </c>
      <c r="D44" t="str">
        <f>CONCATENATE(613945,",",ROW(BCLCTTRTT_06611!D44),"|",COLUMN(BCLCTTRTT_06611!D44),",0",",0")</f>
        <v>613945,44|4,0,0</v>
      </c>
      <c r="E44" t="str">
        <f>CONCATENATE(613902,",",ROW(BCLCTTRTT_06611!E44),"|",COLUMN(BCLCTTRTT_06611!E44),",0",",0")</f>
        <v>613902,44|5,0,0</v>
      </c>
    </row>
    <row r="45" spans="1:5" x14ac:dyDescent="0.25">
      <c r="A45" t="str">
        <f>CONCATENATE(613987,",",ROW(BCLCTTRTT_06611!A45),"|",COLUMN(BCLCTTRTT_06611!A45),",0",",0")</f>
        <v>613987,45|1,0,0</v>
      </c>
      <c r="B45" t="str">
        <f>CONCATENATE(613960,",",ROW(BCLCTTRTT_06611!B45),"|",COLUMN(BCLCTTRTT_06611!B45),",0",",0")</f>
        <v>613960,45|2,0,0</v>
      </c>
      <c r="C45" t="str">
        <f>CONCATENATE(613871,",",ROW(BCLCTTRTT_06611!C45),"|",COLUMN(BCLCTTRTT_06611!C45),",0",",0")</f>
        <v>613871,45|3,0,0</v>
      </c>
      <c r="D45" t="str">
        <f>CONCATENATE(614013,",",ROW(BCLCTTRTT_06611!D45),"|",COLUMN(BCLCTTRTT_06611!D45),",0",",0")</f>
        <v>614013,45|4,0,0</v>
      </c>
      <c r="E45" t="str">
        <f>CONCATENATE(613809,",",ROW(BCLCTTRTT_06611!E45),"|",COLUMN(BCLCTTRTT_06611!E45),",0",",0")</f>
        <v>613809,45|5,0,0</v>
      </c>
    </row>
    <row r="46" spans="1:5" x14ac:dyDescent="0.25">
      <c r="A46" t="str">
        <f>CONCATENATE(613922,",",ROW(BCLCTTRTT_06611!A46),"|",COLUMN(BCLCTTRTT_06611!A46),",0",",0")</f>
        <v>613922,46|1,0,0</v>
      </c>
      <c r="B46" t="str">
        <f>CONCATENATE(613892,",",ROW(BCLCTTRTT_06611!B46),"|",COLUMN(BCLCTTRTT_06611!B46),",0",",0")</f>
        <v>613892,46|2,0,0</v>
      </c>
      <c r="C46" t="str">
        <f>CONCATENATE(613862,",",ROW(BCLCTTRTT_06611!C46),"|",COLUMN(BCLCTTRTT_06611!C46),",0",",0")</f>
        <v>613862,46|3,0,0</v>
      </c>
      <c r="D46" t="str">
        <f>CONCATENATE(614004,",",ROW(BCLCTTRTT_06611!D46),"|",COLUMN(BCLCTTRTT_06611!D46),",0",",0")</f>
        <v>614004,46|4,0,0</v>
      </c>
      <c r="E46" t="str">
        <f>CONCATENATE(613800,",",ROW(BCLCTTRTT_06611!E46),"|",COLUMN(BCLCTTRTT_06611!E46),",0",",0")</f>
        <v>613800,46|5,0,0</v>
      </c>
    </row>
    <row r="47" spans="1:5" x14ac:dyDescent="0.25">
      <c r="A47" t="str">
        <f>CONCATENATE(613923,",",ROW(BCLCTTRTT_06611!A47),"|",COLUMN(BCLCTTRTT_06611!A47),",0",",0")</f>
        <v>613923,47|1,0,0</v>
      </c>
      <c r="B47" t="str">
        <f>CONCATENATE(613976,",",ROW(BCLCTTRTT_06611!B47),"|",COLUMN(BCLCTTRTT_06611!B47),",0",",0")</f>
        <v>613976,47|2,0,0</v>
      </c>
      <c r="C47" t="str">
        <f>CONCATENATE(613863,",",ROW(BCLCTTRTT_06611!C47),"|",COLUMN(BCLCTTRTT_06611!C47),",0",",0")</f>
        <v>613863,47|3,0,0</v>
      </c>
      <c r="D47" t="str">
        <f>CONCATENATE(614005,",",ROW(BCLCTTRTT_06611!D47),"|",COLUMN(BCLCTTRTT_06611!D47),",0",",0")</f>
        <v>614005,47|4,0,0</v>
      </c>
      <c r="E47" t="str">
        <f>CONCATENATE(613801,",",ROW(BCLCTTRTT_06611!E47),"|",COLUMN(BCLCTTRTT_06611!E47),",0",",0")</f>
        <v>613801,47|5,0,0</v>
      </c>
    </row>
    <row r="48" spans="1:5" x14ac:dyDescent="0.25">
      <c r="A48" t="str">
        <f>CONCATENATE(613885,",",ROW(BCLCTTRTT_06611!A48),"|",COLUMN(BCLCTTRTT_06611!A48),",0",",0")</f>
        <v>613885,48|1,0,0</v>
      </c>
      <c r="B48" t="str">
        <f>CONCATENATE(613977,",",ROW(BCLCTTRTT_06611!B48),"|",COLUMN(BCLCTTRTT_06611!B48),",0",",0")</f>
        <v>613977,48|2,0,0</v>
      </c>
      <c r="C48" t="str">
        <f>CONCATENATE(613873,",",ROW(BCLCTTRTT_06611!C48),"|",COLUMN(BCLCTTRTT_06611!C48),",0",",0")</f>
        <v>613873,48|3,0,0</v>
      </c>
      <c r="D48" t="str">
        <f>CONCATENATE(613876,",",ROW(BCLCTTRTT_06611!D48),"|",COLUMN(BCLCTTRTT_06611!D48),",0",",0")</f>
        <v>613876,48|4,0,0</v>
      </c>
      <c r="E48" t="str">
        <f>CONCATENATE(613811,",",ROW(BCLCTTRTT_06611!E48),"|",COLUMN(BCLCTTRTT_06611!E48),",0",",0")</f>
        <v>613811,48|5,0,0</v>
      </c>
    </row>
  </sheetData>
  <sheetProtection password="CB7D"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31" workbookViewId="0">
      <selection activeCell="E36" sqref="E36"/>
    </sheetView>
  </sheetViews>
  <sheetFormatPr defaultRowHeight="15" x14ac:dyDescent="0.25"/>
  <cols>
    <col min="1" max="1" width="31.28515625" bestFit="1" customWidth="1"/>
    <col min="2" max="2" width="7.85546875" customWidth="1"/>
    <col min="3" max="3" width="7.7109375" customWidth="1"/>
    <col min="4" max="5" width="26.140625" bestFit="1" customWidth="1"/>
  </cols>
  <sheetData>
    <row r="1" spans="1:5" ht="20.25" x14ac:dyDescent="0.3">
      <c r="A1" s="2218" t="s">
        <v>16</v>
      </c>
      <c r="B1" s="2218" t="s">
        <v>5</v>
      </c>
      <c r="C1" s="2218" t="s">
        <v>5</v>
      </c>
      <c r="D1" s="2218" t="s">
        <v>5</v>
      </c>
      <c r="E1" s="2218" t="s">
        <v>5</v>
      </c>
    </row>
    <row r="2" spans="1:5" ht="18.75" x14ac:dyDescent="0.3">
      <c r="A2" s="2219" t="s">
        <v>564</v>
      </c>
      <c r="B2" s="2219" t="s">
        <v>5</v>
      </c>
      <c r="C2" s="2219" t="s">
        <v>5</v>
      </c>
      <c r="D2" s="2219" t="s">
        <v>5</v>
      </c>
      <c r="E2" s="2219" t="s">
        <v>5</v>
      </c>
    </row>
    <row r="3" spans="1:5" ht="56.25" x14ac:dyDescent="0.25">
      <c r="A3" s="987" t="s">
        <v>31</v>
      </c>
      <c r="B3" s="987" t="s">
        <v>32</v>
      </c>
      <c r="C3" s="987" t="s">
        <v>33</v>
      </c>
      <c r="D3" s="987" t="s">
        <v>384</v>
      </c>
      <c r="E3" s="987" t="s">
        <v>385</v>
      </c>
    </row>
    <row r="4" spans="1:5" ht="16.5" x14ac:dyDescent="0.25">
      <c r="A4" s="1070" t="s">
        <v>348</v>
      </c>
      <c r="B4" s="1029" t="s">
        <v>582</v>
      </c>
      <c r="C4" s="997" t="s">
        <v>80</v>
      </c>
      <c r="D4" s="1079" t="s">
        <v>222</v>
      </c>
      <c r="E4" s="1089" t="s">
        <v>5</v>
      </c>
    </row>
    <row r="5" spans="1:5" ht="66" x14ac:dyDescent="0.25">
      <c r="A5" s="1059" t="s">
        <v>585</v>
      </c>
      <c r="B5" s="986" t="s">
        <v>5</v>
      </c>
      <c r="C5" s="993"/>
      <c r="D5" s="1071" t="s">
        <v>5</v>
      </c>
      <c r="E5" s="1088" t="s">
        <v>5</v>
      </c>
    </row>
    <row r="6" spans="1:5" ht="49.5" x14ac:dyDescent="0.25">
      <c r="A6" s="1080" t="s">
        <v>595</v>
      </c>
      <c r="B6" s="1017" t="s">
        <v>222</v>
      </c>
      <c r="C6" s="1091"/>
      <c r="D6" s="1951">
        <v>2496849107420</v>
      </c>
      <c r="E6" s="1952">
        <v>3683022775011</v>
      </c>
    </row>
    <row r="7" spans="1:5" ht="49.5" x14ac:dyDescent="0.25">
      <c r="A7" s="998" t="s">
        <v>569</v>
      </c>
      <c r="B7" s="1009" t="s">
        <v>81</v>
      </c>
      <c r="C7" s="1090"/>
      <c r="D7" s="1953">
        <v>-6145872743651</v>
      </c>
      <c r="E7" s="1954">
        <v>-6167819722823</v>
      </c>
    </row>
    <row r="8" spans="1:5" ht="49.5" x14ac:dyDescent="0.25">
      <c r="A8" s="995" t="s">
        <v>567</v>
      </c>
      <c r="B8" s="1014" t="s">
        <v>377</v>
      </c>
      <c r="C8" s="1092"/>
      <c r="D8" s="1955"/>
      <c r="E8" s="1956"/>
    </row>
    <row r="9" spans="1:5" ht="49.5" x14ac:dyDescent="0.25">
      <c r="A9" s="996" t="s">
        <v>568</v>
      </c>
      <c r="B9" s="1010" t="s">
        <v>378</v>
      </c>
      <c r="C9" s="1093"/>
      <c r="D9" s="1957"/>
      <c r="E9" s="1958"/>
    </row>
    <row r="10" spans="1:5" ht="49.5" x14ac:dyDescent="0.25">
      <c r="A10" s="1081" t="s">
        <v>596</v>
      </c>
      <c r="B10" s="1074" t="s">
        <v>325</v>
      </c>
      <c r="C10" s="1094"/>
      <c r="D10" s="1959"/>
      <c r="E10" s="1960"/>
    </row>
    <row r="11" spans="1:5" ht="49.5" x14ac:dyDescent="0.25">
      <c r="A11" s="1030" t="s">
        <v>583</v>
      </c>
      <c r="B11" s="1078" t="s">
        <v>381</v>
      </c>
      <c r="C11" s="1035"/>
      <c r="D11" s="1961"/>
      <c r="E11" s="1962"/>
    </row>
    <row r="12" spans="1:5" ht="66" x14ac:dyDescent="0.25">
      <c r="A12" s="1060" t="s">
        <v>586</v>
      </c>
      <c r="B12" s="1095" t="s">
        <v>382</v>
      </c>
      <c r="C12" s="1036"/>
      <c r="D12" s="1963">
        <v>3341871905738</v>
      </c>
      <c r="E12" s="1964">
        <v>2632356542249</v>
      </c>
    </row>
    <row r="13" spans="1:5" ht="66" x14ac:dyDescent="0.25">
      <c r="A13" s="1065" t="s">
        <v>589</v>
      </c>
      <c r="B13" s="1022" t="s">
        <v>326</v>
      </c>
      <c r="C13" s="1037"/>
      <c r="D13" s="1965"/>
      <c r="E13" s="1966"/>
    </row>
    <row r="14" spans="1:5" ht="49.5" x14ac:dyDescent="0.25">
      <c r="A14" s="1066" t="s">
        <v>590</v>
      </c>
      <c r="B14" s="1073" t="s">
        <v>315</v>
      </c>
      <c r="C14" s="1038"/>
      <c r="D14" s="1967">
        <v>-455822294</v>
      </c>
      <c r="E14" s="1968">
        <v>-400190356</v>
      </c>
    </row>
    <row r="15" spans="1:5" ht="49.5" x14ac:dyDescent="0.25">
      <c r="A15" s="1067" t="s">
        <v>591</v>
      </c>
      <c r="B15" s="1023" t="s">
        <v>379</v>
      </c>
      <c r="C15" s="1040"/>
      <c r="D15" s="1969"/>
      <c r="E15" s="1970"/>
    </row>
    <row r="16" spans="1:5" ht="49.5" x14ac:dyDescent="0.25">
      <c r="A16" s="1082" t="s">
        <v>597</v>
      </c>
      <c r="B16" s="1024" t="s">
        <v>296</v>
      </c>
      <c r="C16" s="1041"/>
      <c r="D16" s="1971"/>
      <c r="E16" s="1972"/>
    </row>
    <row r="17" spans="1:5" ht="49.5" x14ac:dyDescent="0.25">
      <c r="A17" s="1068" t="s">
        <v>592</v>
      </c>
      <c r="B17" s="1025" t="s">
        <v>327</v>
      </c>
      <c r="C17" s="1042"/>
      <c r="D17" s="1973">
        <v>4490461573</v>
      </c>
      <c r="E17" s="1974">
        <v>4803291260</v>
      </c>
    </row>
    <row r="18" spans="1:5" ht="49.5" x14ac:dyDescent="0.25">
      <c r="A18" s="999" t="s">
        <v>570</v>
      </c>
      <c r="B18" s="1018" t="s">
        <v>328</v>
      </c>
      <c r="C18" s="1043"/>
      <c r="D18" s="1975">
        <v>-4538480008</v>
      </c>
      <c r="E18" s="1976">
        <v>-4776942200</v>
      </c>
    </row>
    <row r="19" spans="1:5" ht="30.75" customHeight="1" x14ac:dyDescent="0.25">
      <c r="A19" s="988" t="s">
        <v>565</v>
      </c>
      <c r="B19" s="989" t="s">
        <v>524</v>
      </c>
      <c r="C19" s="990"/>
      <c r="D19" s="1977">
        <v>-307655571222</v>
      </c>
      <c r="E19" s="1978">
        <v>147185753141</v>
      </c>
    </row>
    <row r="20" spans="1:5" ht="66" x14ac:dyDescent="0.25">
      <c r="A20" s="1000" t="s">
        <v>571</v>
      </c>
      <c r="B20" s="1075" t="s">
        <v>511</v>
      </c>
      <c r="C20" s="1044"/>
      <c r="D20" s="1979">
        <v>453499979999</v>
      </c>
      <c r="E20" s="1980">
        <v>281319542706</v>
      </c>
    </row>
    <row r="21" spans="1:5" ht="33" x14ac:dyDescent="0.25">
      <c r="A21" s="1001" t="s">
        <v>572</v>
      </c>
      <c r="B21" s="1019" t="s">
        <v>512</v>
      </c>
      <c r="C21" s="1045"/>
      <c r="D21" s="1981">
        <v>452350181913</v>
      </c>
      <c r="E21" s="1982">
        <v>281319542706</v>
      </c>
    </row>
    <row r="22" spans="1:5" ht="66" x14ac:dyDescent="0.25">
      <c r="A22" s="1002" t="s">
        <v>573</v>
      </c>
      <c r="B22" s="1026" t="s">
        <v>525</v>
      </c>
      <c r="C22" s="1046"/>
      <c r="D22" s="1983">
        <v>270700238812</v>
      </c>
      <c r="E22" s="1984">
        <v>161954200108</v>
      </c>
    </row>
    <row r="23" spans="1:5" ht="33" x14ac:dyDescent="0.25">
      <c r="A23" s="1003" t="s">
        <v>574</v>
      </c>
      <c r="B23" s="1020" t="s">
        <v>525</v>
      </c>
      <c r="C23" s="1047"/>
      <c r="D23" s="1058"/>
      <c r="E23" s="1062"/>
    </row>
    <row r="24" spans="1:5" ht="49.5" x14ac:dyDescent="0.25">
      <c r="A24" s="1013" t="s">
        <v>578</v>
      </c>
      <c r="B24" s="1076" t="s">
        <v>522</v>
      </c>
      <c r="C24" s="1048"/>
      <c r="D24" s="1985">
        <v>2123270</v>
      </c>
      <c r="E24" s="1986">
        <v>118170807052</v>
      </c>
    </row>
    <row r="25" spans="1:5" ht="49.5" x14ac:dyDescent="0.25">
      <c r="A25" s="1083" t="s">
        <v>579</v>
      </c>
      <c r="B25" s="1021" t="s">
        <v>580</v>
      </c>
      <c r="C25" s="1049"/>
      <c r="D25" s="1987">
        <v>181647819831</v>
      </c>
      <c r="E25" s="1988">
        <v>2118895</v>
      </c>
    </row>
    <row r="26" spans="1:5" ht="49.5" x14ac:dyDescent="0.25">
      <c r="A26" s="1031" t="s">
        <v>575</v>
      </c>
      <c r="B26" s="1006" t="s">
        <v>576</v>
      </c>
      <c r="C26" s="1050"/>
      <c r="D26" s="1989">
        <v>1149798086</v>
      </c>
      <c r="E26" s="1990">
        <v>1192416651</v>
      </c>
    </row>
    <row r="27" spans="1:5" ht="33" x14ac:dyDescent="0.25">
      <c r="A27" s="1061" t="s">
        <v>574</v>
      </c>
      <c r="B27" s="1027" t="s">
        <v>576</v>
      </c>
      <c r="C27" s="1051"/>
      <c r="D27" s="1969"/>
      <c r="E27" s="1969"/>
    </row>
    <row r="28" spans="1:5" ht="33" x14ac:dyDescent="0.25">
      <c r="A28" s="1034" t="s">
        <v>532</v>
      </c>
      <c r="B28" s="1096" t="s">
        <v>598</v>
      </c>
      <c r="C28" s="1052"/>
      <c r="D28" s="1969"/>
      <c r="E28" s="1969"/>
    </row>
    <row r="29" spans="1:5" ht="49.5" x14ac:dyDescent="0.25">
      <c r="A29" s="1032" t="s">
        <v>510</v>
      </c>
      <c r="B29" s="1097" t="s">
        <v>599</v>
      </c>
      <c r="C29" s="1053"/>
      <c r="D29" s="1969"/>
      <c r="E29" s="1969"/>
    </row>
    <row r="30" spans="1:5" ht="66" x14ac:dyDescent="0.25">
      <c r="A30" s="1033" t="s">
        <v>584</v>
      </c>
      <c r="B30" s="1098" t="s">
        <v>600</v>
      </c>
      <c r="C30" s="1054"/>
      <c r="D30" s="1991">
        <v>145844408777</v>
      </c>
      <c r="E30" s="1992">
        <v>428505295847</v>
      </c>
    </row>
    <row r="31" spans="1:5" ht="33" x14ac:dyDescent="0.25">
      <c r="A31" s="1069" t="s">
        <v>593</v>
      </c>
      <c r="B31" s="1077" t="s">
        <v>594</v>
      </c>
      <c r="C31" s="1055"/>
      <c r="D31" s="1993">
        <v>145844408777</v>
      </c>
      <c r="E31" s="1994">
        <v>428505295847</v>
      </c>
    </row>
    <row r="32" spans="1:5" ht="66" x14ac:dyDescent="0.25">
      <c r="A32" s="1004" t="s">
        <v>573</v>
      </c>
      <c r="B32" s="1099" t="s">
        <v>601</v>
      </c>
      <c r="C32" s="1056"/>
      <c r="D32" s="1995">
        <v>123472297970</v>
      </c>
      <c r="E32" s="1996">
        <v>356784973647</v>
      </c>
    </row>
    <row r="33" spans="1:5" ht="33" x14ac:dyDescent="0.25">
      <c r="A33" s="1084" t="s">
        <v>574</v>
      </c>
      <c r="B33" s="1100" t="s">
        <v>601</v>
      </c>
      <c r="C33" s="1057"/>
      <c r="D33" s="1969"/>
      <c r="E33" s="1969"/>
    </row>
    <row r="34" spans="1:5" ht="49.5" x14ac:dyDescent="0.25">
      <c r="A34" s="1016" t="s">
        <v>579</v>
      </c>
      <c r="B34" s="1063" t="s">
        <v>587</v>
      </c>
      <c r="C34" s="1011"/>
      <c r="D34" s="1997">
        <v>21268325160</v>
      </c>
      <c r="E34" s="1998">
        <v>70499430426</v>
      </c>
    </row>
    <row r="35" spans="1:5" ht="49.5" x14ac:dyDescent="0.25">
      <c r="A35" s="1085" t="s">
        <v>578</v>
      </c>
      <c r="B35" s="1007" t="s">
        <v>577</v>
      </c>
      <c r="C35" s="1039"/>
      <c r="D35" s="1999">
        <v>2005996</v>
      </c>
      <c r="E35" s="2000">
        <v>2126063</v>
      </c>
    </row>
    <row r="36" spans="1:5" ht="49.5" x14ac:dyDescent="0.25">
      <c r="A36" s="1005" t="s">
        <v>575</v>
      </c>
      <c r="B36" s="1008" t="s">
        <v>566</v>
      </c>
      <c r="C36" s="1012"/>
      <c r="D36" s="2001">
        <v>1101779651</v>
      </c>
      <c r="E36" s="2002">
        <v>1218765711</v>
      </c>
    </row>
    <row r="37" spans="1:5" ht="33" x14ac:dyDescent="0.25">
      <c r="A37" s="1086" t="s">
        <v>574</v>
      </c>
      <c r="B37" s="994" t="s">
        <v>566</v>
      </c>
      <c r="C37" s="1015"/>
      <c r="D37" s="1969">
        <v>0</v>
      </c>
      <c r="E37" s="1969">
        <v>0</v>
      </c>
    </row>
    <row r="38" spans="1:5" ht="33" x14ac:dyDescent="0.25">
      <c r="A38" s="1087" t="s">
        <v>532</v>
      </c>
      <c r="B38" s="1064" t="s">
        <v>588</v>
      </c>
      <c r="C38" s="991"/>
      <c r="D38" s="1969">
        <v>0</v>
      </c>
      <c r="E38" s="1969">
        <v>0</v>
      </c>
    </row>
    <row r="39" spans="1:5" ht="49.5" x14ac:dyDescent="0.25">
      <c r="A39" s="1072" t="s">
        <v>510</v>
      </c>
      <c r="B39" s="1028" t="s">
        <v>581</v>
      </c>
      <c r="C39" s="992"/>
      <c r="D39" s="1969">
        <v>0</v>
      </c>
      <c r="E39" s="1969">
        <v>0</v>
      </c>
    </row>
  </sheetData>
  <mergeCells count="2">
    <mergeCell ref="A1:E1"/>
    <mergeCell ref="A2:E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39"/>
  <sheetViews>
    <sheetView workbookViewId="0"/>
  </sheetViews>
  <sheetFormatPr defaultRowHeight="15" x14ac:dyDescent="0.25"/>
  <cols>
    <col min="1" max="1" width="1" style="1101" bestFit="1" customWidth="1"/>
    <col min="2" max="5" width="1" bestFit="1" customWidth="1"/>
  </cols>
  <sheetData>
    <row r="4" spans="1:5" x14ac:dyDescent="0.25">
      <c r="A4" t="str">
        <f>CONCATENATE(613335,",",ROW(PLCTTHDMGUTCKHTT_06612!A4),"|",COLUMN(PLCTTHDMGUTCKHTT_06612!A4),",0",",0")</f>
        <v>613335,4|1,0,0</v>
      </c>
      <c r="B4" t="str">
        <f>CONCATENATE(613259,",",ROW(PLCTTHDMGUTCKHTT_06612!B4),"|",COLUMN(PLCTTHDMGUTCKHTT_06612!B4),",0",",0")</f>
        <v>613259,4|2,0,0</v>
      </c>
      <c r="C4" t="str">
        <f>CONCATENATE(613226,",",ROW(PLCTTHDMGUTCKHTT_06612!C4),"|",COLUMN(PLCTTHDMGUTCKHTT_06612!C4),",0",",0")</f>
        <v>613226,4|3,0,0</v>
      </c>
      <c r="D4" t="str">
        <f>CONCATENATE(613352,",",ROW(PLCTTHDMGUTCKHTT_06612!D4),"|",COLUMN(PLCTTHDMGUTCKHTT_06612!D4),",0",",0")</f>
        <v>613352,4|4,0,0</v>
      </c>
      <c r="E4" t="str">
        <f>CONCATENATE(613369,",",ROW(PLCTTHDMGUTCKHTT_06612!E4),"|",COLUMN(PLCTTHDMGUTCKHTT_06612!E4),",0",",0")</f>
        <v>613369,4|5,0,0</v>
      </c>
    </row>
    <row r="5" spans="1:5" x14ac:dyDescent="0.25">
      <c r="A5" t="str">
        <f>CONCATENATE(613299,",",ROW(PLCTTHDMGUTCKHTT_06612!A5),"|",COLUMN(PLCTTHDMGUTCKHTT_06612!A5),",0",",0")</f>
        <v>613299,5|1,0,0</v>
      </c>
      <c r="B5" t="s">
        <v>5</v>
      </c>
      <c r="C5" t="str">
        <f>CONCATENATE(613206,",",ROW(PLCTTHDMGUTCKHTT_06612!C5),"|",COLUMN(PLCTTHDMGUTCKHTT_06612!C5),",0",",0")</f>
        <v>613206,5|3,0,0</v>
      </c>
      <c r="D5" t="str">
        <f>CONCATENATE(613343,",",ROW(PLCTTHDMGUTCKHTT_06612!D5),"|",COLUMN(PLCTTHDMGUTCKHTT_06612!D5),",0",",0")</f>
        <v>613343,5|4,0,0</v>
      </c>
      <c r="E5" t="str">
        <f>CONCATENATE(613368,",",ROW(PLCTTHDMGUTCKHTT_06612!E5),"|",COLUMN(PLCTTHDMGUTCKHTT_06612!E5),",0",",0")</f>
        <v>613368,5|5,0,0</v>
      </c>
    </row>
    <row r="6" spans="1:5" x14ac:dyDescent="0.25">
      <c r="A6" t="str">
        <f>CONCATENATE(613353,",",ROW(PLCTTHDMGUTCKHTT_06612!A6),"|",COLUMN(PLCTTHDMGUTCKHTT_06612!A6),",0",",0")</f>
        <v>613353,6|1,0,0</v>
      </c>
      <c r="B6" t="str">
        <f>CONCATENATE(613247,",",ROW(PLCTTHDMGUTCKHTT_06612!B6),"|",COLUMN(PLCTTHDMGUTCKHTT_06612!B6),",0",",0")</f>
        <v>613247,6|2,0,0</v>
      </c>
      <c r="C6" t="str">
        <f>CONCATENATE(613371,",",ROW(PLCTTHDMGUTCKHTT_06612!C6),"|",COLUMN(PLCTTHDMGUTCKHTT_06612!C6),",0",",0")</f>
        <v>613371,6|3,0,0</v>
      </c>
      <c r="D6" t="str">
        <f>CONCATENATE(613208,",",ROW(PLCTTHDMGUTCKHTT_06612!D6),"|",COLUMN(PLCTTHDMGUTCKHTT_06612!D6),",0",",0")</f>
        <v>613208,6|4,0,0</v>
      </c>
      <c r="E6" t="str">
        <f>CONCATENATE(613302,",",ROW(PLCTTHDMGUTCKHTT_06612!E6),"|",COLUMN(PLCTTHDMGUTCKHTT_06612!E6),",0",",0")</f>
        <v>613302,6|5,0,0</v>
      </c>
    </row>
    <row r="7" spans="1:5" x14ac:dyDescent="0.25">
      <c r="A7" t="str">
        <f>CONCATENATE(613228,",",ROW(PLCTTHDMGUTCKHTT_06612!A7),"|",COLUMN(PLCTTHDMGUTCKHTT_06612!A7),",0",",0")</f>
        <v>613228,7|1,0,0</v>
      </c>
      <c r="B7" t="str">
        <f>CONCATENATE(613239,",",ROW(PLCTTHDMGUTCKHTT_06612!B7),"|",COLUMN(PLCTTHDMGUTCKHTT_06612!B7),",0",",0")</f>
        <v>613239,7|2,0,0</v>
      </c>
      <c r="C7" t="str">
        <f>CONCATENATE(613370,",",ROW(PLCTTHDMGUTCKHTT_06612!C7),"|",COLUMN(PLCTTHDMGUTCKHTT_06612!C7),",0",",0")</f>
        <v>613370,7|3,0,0</v>
      </c>
      <c r="D7" t="str">
        <f>CONCATENATE(613209,",",ROW(PLCTTHDMGUTCKHTT_06612!D7),"|",COLUMN(PLCTTHDMGUTCKHTT_06612!D7),",0",",0")</f>
        <v>613209,7|4,0,0</v>
      </c>
      <c r="E7" t="str">
        <f>CONCATENATE(613303,",",ROW(PLCTTHDMGUTCKHTT_06612!E7),"|",COLUMN(PLCTTHDMGUTCKHTT_06612!E7),",0",",0")</f>
        <v>613303,7|5,0,0</v>
      </c>
    </row>
    <row r="8" spans="1:5" x14ac:dyDescent="0.25">
      <c r="A8" t="str">
        <f>CONCATENATE(613224,",",ROW(PLCTTHDMGUTCKHTT_06612!A8),"|",COLUMN(PLCTTHDMGUTCKHTT_06612!A8),",0",",0")</f>
        <v>613224,8|1,0,0</v>
      </c>
      <c r="B8" t="str">
        <f>CONCATENATE(613244,",",ROW(PLCTTHDMGUTCKHTT_06612!B8),"|",COLUMN(PLCTTHDMGUTCKHTT_06612!B8),",0",",0")</f>
        <v>613244,8|2,0,0</v>
      </c>
      <c r="C8" t="str">
        <f>CONCATENATE(613372,",",ROW(PLCTTHDMGUTCKHTT_06612!C8),"|",COLUMN(PLCTTHDMGUTCKHTT_06612!C8),",0",",0")</f>
        <v>613372,8|3,0,0</v>
      </c>
      <c r="D8" t="str">
        <f>CONCATENATE(613210,",",ROW(PLCTTHDMGUTCKHTT_06612!D8),"|",COLUMN(PLCTTHDMGUTCKHTT_06612!D8),",0",",0")</f>
        <v>613210,8|4,0,0</v>
      </c>
      <c r="E8" t="str">
        <f>CONCATENATE(613304,",",ROW(PLCTTHDMGUTCKHTT_06612!E8),"|",COLUMN(PLCTTHDMGUTCKHTT_06612!E8),",0",",0")</f>
        <v>613304,8|5,0,0</v>
      </c>
    </row>
    <row r="9" spans="1:5" x14ac:dyDescent="0.25">
      <c r="A9" t="str">
        <f>CONCATENATE(613225,",",ROW(PLCTTHDMGUTCKHTT_06612!A9),"|",COLUMN(PLCTTHDMGUTCKHTT_06612!A9),",0",",0")</f>
        <v>613225,9|1,0,0</v>
      </c>
      <c r="B9" t="str">
        <f>CONCATENATE(613240,",",ROW(PLCTTHDMGUTCKHTT_06612!B9),"|",COLUMN(PLCTTHDMGUTCKHTT_06612!B9),",0",",0")</f>
        <v>613240,9|2,0,0</v>
      </c>
      <c r="C9" t="str">
        <f>CONCATENATE(613373,",",ROW(PLCTTHDMGUTCKHTT_06612!C9),"|",COLUMN(PLCTTHDMGUTCKHTT_06612!C9),",0",",0")</f>
        <v>613373,9|3,0,0</v>
      </c>
      <c r="D9" t="str">
        <f>CONCATENATE(613211,",",ROW(PLCTTHDMGUTCKHTT_06612!D9),"|",COLUMN(PLCTTHDMGUTCKHTT_06612!D9),",0",",0")</f>
        <v>613211,9|4,0,0</v>
      </c>
      <c r="E9" t="str">
        <f>CONCATENATE(613305,",",ROW(PLCTTHDMGUTCKHTT_06612!E9),"|",COLUMN(PLCTTHDMGUTCKHTT_06612!E9),",0",",0")</f>
        <v>613305,9|5,0,0</v>
      </c>
    </row>
    <row r="10" spans="1:5" x14ac:dyDescent="0.25">
      <c r="A10" t="str">
        <f>CONCATENATE(613354,",",ROW(PLCTTHDMGUTCKHTT_06612!A10),"|",COLUMN(PLCTTHDMGUTCKHTT_06612!A10),",0",",0")</f>
        <v>613354,10|1,0,0</v>
      </c>
      <c r="B10" t="str">
        <f>CONCATENATE(613347,",",ROW(PLCTTHDMGUTCKHTT_06612!B10),"|",COLUMN(PLCTTHDMGUTCKHTT_06612!B10),",0",",0")</f>
        <v>613347,10|2,0,0</v>
      </c>
      <c r="C10" t="str">
        <f>CONCATENATE(613374,",",ROW(PLCTTHDMGUTCKHTT_06612!C10),"|",COLUMN(PLCTTHDMGUTCKHTT_06612!C10),",0",",0")</f>
        <v>613374,10|3,0,0</v>
      </c>
      <c r="D10" t="str">
        <f>CONCATENATE(613212,",",ROW(PLCTTHDMGUTCKHTT_06612!D10),"|",COLUMN(PLCTTHDMGUTCKHTT_06612!D10),",0",",0")</f>
        <v>613212,10|4,0,0</v>
      </c>
      <c r="E10" t="str">
        <f>CONCATENATE(613306,",",ROW(PLCTTHDMGUTCKHTT_06612!E10),"|",COLUMN(PLCTTHDMGUTCKHTT_06612!E10),",0",",0")</f>
        <v>613306,10|5,0,0</v>
      </c>
    </row>
    <row r="11" spans="1:5" x14ac:dyDescent="0.25">
      <c r="A11" t="str">
        <f>CONCATENATE(613260,",",ROW(PLCTTHDMGUTCKHTT_06612!A11),"|",COLUMN(PLCTTHDMGUTCKHTT_06612!A11),",0",",0")</f>
        <v>613260,11|1,0,0</v>
      </c>
      <c r="B11" t="str">
        <f>CONCATENATE(613351,",",ROW(PLCTTHDMGUTCKHTT_06612!B11),"|",COLUMN(PLCTTHDMGUTCKHTT_06612!B11),",0",",0")</f>
        <v>613351,11|2,0,0</v>
      </c>
      <c r="C11" t="str">
        <f>CONCATENATE(613265,",",ROW(PLCTTHDMGUTCKHTT_06612!C11),"|",COLUMN(PLCTTHDMGUTCKHTT_06612!C11),",0",",0")</f>
        <v>613265,11|3,0,0</v>
      </c>
      <c r="D11" t="str">
        <f>CONCATENATE(613213,",",ROW(PLCTTHDMGUTCKHTT_06612!D11),"|",COLUMN(PLCTTHDMGUTCKHTT_06612!D11),",0",",0")</f>
        <v>613213,11|4,0,0</v>
      </c>
      <c r="E11" t="str">
        <f>CONCATENATE(613307,",",ROW(PLCTTHDMGUTCKHTT_06612!E11),"|",COLUMN(PLCTTHDMGUTCKHTT_06612!E11),",0",",0")</f>
        <v>613307,11|5,0,0</v>
      </c>
    </row>
    <row r="12" spans="1:5" x14ac:dyDescent="0.25">
      <c r="A12" t="str">
        <f>CONCATENATE(613300,",",ROW(PLCTTHDMGUTCKHTT_06612!A12),"|",COLUMN(PLCTTHDMGUTCKHTT_06612!A12),",0",",0")</f>
        <v>613300,12|1,0,0</v>
      </c>
      <c r="B12" t="str">
        <f>CONCATENATE(613375,",",ROW(PLCTTHDMGUTCKHTT_06612!B12),"|",COLUMN(PLCTTHDMGUTCKHTT_06612!B12),",0",",0")</f>
        <v>613375,12|2,0,0</v>
      </c>
      <c r="C12" t="str">
        <f>CONCATENATE(613266,",",ROW(PLCTTHDMGUTCKHTT_06612!C12),"|",COLUMN(PLCTTHDMGUTCKHTT_06612!C12),",0",",0")</f>
        <v>613266,12|3,0,0</v>
      </c>
      <c r="D12" t="str">
        <f>CONCATENATE(613214,",",ROW(PLCTTHDMGUTCKHTT_06612!D12),"|",COLUMN(PLCTTHDMGUTCKHTT_06612!D12),",0",",0")</f>
        <v>613214,12|4,0,0</v>
      </c>
      <c r="E12" t="str">
        <f>CONCATENATE(613308,",",ROW(PLCTTHDMGUTCKHTT_06612!E12),"|",COLUMN(PLCTTHDMGUTCKHTT_06612!E12),",0",",0")</f>
        <v>613308,12|5,0,0</v>
      </c>
    </row>
    <row r="13" spans="1:5" x14ac:dyDescent="0.25">
      <c r="A13" t="str">
        <f>CONCATENATE(613330,",",ROW(PLCTTHDMGUTCKHTT_06612!A13),"|",COLUMN(PLCTTHDMGUTCKHTT_06612!A13),",0",",0")</f>
        <v>613330,13|1,0,0</v>
      </c>
      <c r="B13" t="str">
        <f>CONCATENATE(613252,",",ROW(PLCTTHDMGUTCKHTT_06612!B13),"|",COLUMN(PLCTTHDMGUTCKHTT_06612!B13),",0",",0")</f>
        <v>613252,13|2,0,0</v>
      </c>
      <c r="C13" t="str">
        <f>CONCATENATE(613267,",",ROW(PLCTTHDMGUTCKHTT_06612!C13),"|",COLUMN(PLCTTHDMGUTCKHTT_06612!C13),",0",",0")</f>
        <v>613267,13|3,0,0</v>
      </c>
      <c r="D13" t="str">
        <f>CONCATENATE(613215,",",ROW(PLCTTHDMGUTCKHTT_06612!D13),"|",COLUMN(PLCTTHDMGUTCKHTT_06612!D13),",0",",0")</f>
        <v>613215,13|4,0,0</v>
      </c>
      <c r="E13" t="str">
        <f>CONCATENATE(613309,",",ROW(PLCTTHDMGUTCKHTT_06612!E13),"|",COLUMN(PLCTTHDMGUTCKHTT_06612!E13),",0",",0")</f>
        <v>613309,13|5,0,0</v>
      </c>
    </row>
    <row r="14" spans="1:5" x14ac:dyDescent="0.25">
      <c r="A14" t="str">
        <f>CONCATENATE(613331,",",ROW(PLCTTHDMGUTCKHTT_06612!A14),"|",COLUMN(PLCTTHDMGUTCKHTT_06612!A14),",0",",0")</f>
        <v>613331,14|1,0,0</v>
      </c>
      <c r="B14" t="str">
        <f>CONCATENATE(613346,",",ROW(PLCTTHDMGUTCKHTT_06612!B14),"|",COLUMN(PLCTTHDMGUTCKHTT_06612!B14),",0",",0")</f>
        <v>613346,14|2,0,0</v>
      </c>
      <c r="C14" t="str">
        <f>CONCATENATE(613268,",",ROW(PLCTTHDMGUTCKHTT_06612!C14),"|",COLUMN(PLCTTHDMGUTCKHTT_06612!C14),",0",",0")</f>
        <v>613268,14|3,0,0</v>
      </c>
      <c r="D14" t="str">
        <f>CONCATENATE(613216,",",ROW(PLCTTHDMGUTCKHTT_06612!D14),"|",COLUMN(PLCTTHDMGUTCKHTT_06612!D14),",0",",0")</f>
        <v>613216,14|4,0,0</v>
      </c>
      <c r="E14" t="str">
        <f>CONCATENATE(613310,",",ROW(PLCTTHDMGUTCKHTT_06612!E14),"|",COLUMN(PLCTTHDMGUTCKHTT_06612!E14),",0",",0")</f>
        <v>613310,14|5,0,0</v>
      </c>
    </row>
    <row r="15" spans="1:5" x14ac:dyDescent="0.25">
      <c r="A15" t="str">
        <f>CONCATENATE(613332,",",ROW(PLCTTHDMGUTCKHTT_06612!A15),"|",COLUMN(PLCTTHDMGUTCKHTT_06612!A15),",0",",0")</f>
        <v>613332,15|1,0,0</v>
      </c>
      <c r="B15" t="str">
        <f>CONCATENATE(613253,",",ROW(PLCTTHDMGUTCKHTT_06612!B15),"|",COLUMN(PLCTTHDMGUTCKHTT_06612!B15),",0",",0")</f>
        <v>613253,15|2,0,0</v>
      </c>
      <c r="C15" t="str">
        <f>CONCATENATE(613270,",",ROW(PLCTTHDMGUTCKHTT_06612!C15),"|",COLUMN(PLCTTHDMGUTCKHTT_06612!C15),",0",",0")</f>
        <v>613270,15|3,0,0</v>
      </c>
      <c r="D15" t="str">
        <f>CONCATENATE(613217,",",ROW(PLCTTHDMGUTCKHTT_06612!D15),"|",COLUMN(PLCTTHDMGUTCKHTT_06612!D15),",0",",0")</f>
        <v>613217,15|4,0,0</v>
      </c>
      <c r="E15" t="str">
        <f>CONCATENATE(613311,",",ROW(PLCTTHDMGUTCKHTT_06612!E15),"|",COLUMN(PLCTTHDMGUTCKHTT_06612!E15),",0",",0")</f>
        <v>613311,15|5,0,0</v>
      </c>
    </row>
    <row r="16" spans="1:5" x14ac:dyDescent="0.25">
      <c r="A16" t="str">
        <f>CONCATENATE(613355,",",ROW(PLCTTHDMGUTCKHTT_06612!A16),"|",COLUMN(PLCTTHDMGUTCKHTT_06612!A16),",0",",0")</f>
        <v>613355,16|1,0,0</v>
      </c>
      <c r="B16" t="str">
        <f>CONCATENATE(613254,",",ROW(PLCTTHDMGUTCKHTT_06612!B16),"|",COLUMN(PLCTTHDMGUTCKHTT_06612!B16),",0",",0")</f>
        <v>613254,16|2,0,0</v>
      </c>
      <c r="C16" t="str">
        <f>CONCATENATE(613271,",",ROW(PLCTTHDMGUTCKHTT_06612!C16),"|",COLUMN(PLCTTHDMGUTCKHTT_06612!C16),",0",",0")</f>
        <v>613271,16|3,0,0</v>
      </c>
      <c r="D16" t="str">
        <f>CONCATENATE(613218,",",ROW(PLCTTHDMGUTCKHTT_06612!D16),"|",COLUMN(PLCTTHDMGUTCKHTT_06612!D16),",0",",0")</f>
        <v>613218,16|4,0,0</v>
      </c>
      <c r="E16" t="str">
        <f>CONCATENATE(613312,",",ROW(PLCTTHDMGUTCKHTT_06612!E16),"|",COLUMN(PLCTTHDMGUTCKHTT_06612!E16),",0",",0")</f>
        <v>613312,16|5,0,0</v>
      </c>
    </row>
    <row r="17" spans="1:5" x14ac:dyDescent="0.25">
      <c r="A17" t="str">
        <f>CONCATENATE(613333,",",ROW(PLCTTHDMGUTCKHTT_06612!A17),"|",COLUMN(PLCTTHDMGUTCKHTT_06612!A17),",0",",0")</f>
        <v>613333,17|1,0,0</v>
      </c>
      <c r="B17" t="str">
        <f>CONCATENATE(613255,",",ROW(PLCTTHDMGUTCKHTT_06612!B17),"|",COLUMN(PLCTTHDMGUTCKHTT_06612!B17),",0",",0")</f>
        <v>613255,17|2,0,0</v>
      </c>
      <c r="C17" t="str">
        <f>CONCATENATE(613272,",",ROW(PLCTTHDMGUTCKHTT_06612!C17),"|",COLUMN(PLCTTHDMGUTCKHTT_06612!C17),",0",",0")</f>
        <v>613272,17|3,0,0</v>
      </c>
      <c r="D17" t="str">
        <f>CONCATENATE(613219,",",ROW(PLCTTHDMGUTCKHTT_06612!D17),"|",COLUMN(PLCTTHDMGUTCKHTT_06612!D17),",0",",0")</f>
        <v>613219,17|4,0,0</v>
      </c>
      <c r="E17" t="str">
        <f>CONCATENATE(613313,",",ROW(PLCTTHDMGUTCKHTT_06612!E17),"|",COLUMN(PLCTTHDMGUTCKHTT_06612!E17),",0",",0")</f>
        <v>613313,17|5,0,0</v>
      </c>
    </row>
    <row r="18" spans="1:5" x14ac:dyDescent="0.25">
      <c r="A18" t="str">
        <f>CONCATENATE(613229,",",ROW(PLCTTHDMGUTCKHTT_06612!A18),"|",COLUMN(PLCTTHDMGUTCKHTT_06612!A18),",0",",0")</f>
        <v>613229,18|1,0,0</v>
      </c>
      <c r="B18" t="str">
        <f>CONCATENATE(613248,",",ROW(PLCTTHDMGUTCKHTT_06612!B18),"|",COLUMN(PLCTTHDMGUTCKHTT_06612!B18),",0",",0")</f>
        <v>613248,18|2,0,0</v>
      </c>
      <c r="C18" t="str">
        <f>CONCATENATE(613273,",",ROW(PLCTTHDMGUTCKHTT_06612!C18),"|",COLUMN(PLCTTHDMGUTCKHTT_06612!C18),",0",",0")</f>
        <v>613273,18|3,0,0</v>
      </c>
      <c r="D18" t="str">
        <f>CONCATENATE(613220,",",ROW(PLCTTHDMGUTCKHTT_06612!D18),"|",COLUMN(PLCTTHDMGUTCKHTT_06612!D18),",0",",0")</f>
        <v>613220,18|4,0,0</v>
      </c>
      <c r="E18" t="str">
        <f>CONCATENATE(613314,",",ROW(PLCTTHDMGUTCKHTT_06612!E18),"|",COLUMN(PLCTTHDMGUTCKHTT_06612!E18),",0",",0")</f>
        <v>613314,18|5,0,0</v>
      </c>
    </row>
    <row r="19" spans="1:5" x14ac:dyDescent="0.25">
      <c r="A19" t="str">
        <f>CONCATENATE(613199,",",ROW(PLCTTHDMGUTCKHTT_06612!A19),"|",COLUMN(PLCTTHDMGUTCKHTT_06612!A19),",0",",0")</f>
        <v>613199,19|1,0,0</v>
      </c>
      <c r="B19" t="str">
        <f>CONCATENATE(613200,",",ROW(PLCTTHDMGUTCKHTT_06612!B19),"|",COLUMN(PLCTTHDMGUTCKHTT_06612!B19),",0",",0")</f>
        <v>613200,19|2,0,0</v>
      </c>
      <c r="C19" t="str">
        <f>CONCATENATE(613201,",",ROW(PLCTTHDMGUTCKHTT_06612!C19),"|",COLUMN(PLCTTHDMGUTCKHTT_06612!C19),",0",",0")</f>
        <v>613201,19|3,0,0</v>
      </c>
      <c r="D19" t="str">
        <f>CONCATENATE(613202,",",ROW(PLCTTHDMGUTCKHTT_06612!D19),"|",COLUMN(PLCTTHDMGUTCKHTT_06612!D19),",0",",0")</f>
        <v>613202,19|4,0,0</v>
      </c>
      <c r="E19" t="str">
        <f>CONCATENATE(613203,",",ROW(PLCTTHDMGUTCKHTT_06612!E19),"|",COLUMN(PLCTTHDMGUTCKHTT_06612!E19),",0",",0")</f>
        <v>613203,19|5,0,0</v>
      </c>
    </row>
    <row r="20" spans="1:5" x14ac:dyDescent="0.25">
      <c r="A20" t="str">
        <f>CONCATENATE(613230,",",ROW(PLCTTHDMGUTCKHTT_06612!A20),"|",COLUMN(PLCTTHDMGUTCKHTT_06612!A20),",0",",0")</f>
        <v>613230,20|1,0,0</v>
      </c>
      <c r="B20" t="str">
        <f>CONCATENATE(613348,",",ROW(PLCTTHDMGUTCKHTT_06612!B20),"|",COLUMN(PLCTTHDMGUTCKHTT_06612!B20),",0",",0")</f>
        <v>613348,20|2,0,0</v>
      </c>
      <c r="C20" t="str">
        <f>CONCATENATE(613274,",",ROW(PLCTTHDMGUTCKHTT_06612!C20),"|",COLUMN(PLCTTHDMGUTCKHTT_06612!C20),",0",",0")</f>
        <v>613274,20|3,0,0</v>
      </c>
      <c r="D20" t="str">
        <f>CONCATENATE(613221,",",ROW(PLCTTHDMGUTCKHTT_06612!D20),"|",COLUMN(PLCTTHDMGUTCKHTT_06612!D20),",0",",0")</f>
        <v>613221,20|4,0,0</v>
      </c>
      <c r="E20" t="str">
        <f>CONCATENATE(613315,",",ROW(PLCTTHDMGUTCKHTT_06612!E20),"|",COLUMN(PLCTTHDMGUTCKHTT_06612!E20),",0",",0")</f>
        <v>613315,20|5,0,0</v>
      </c>
    </row>
    <row r="21" spans="1:5" x14ac:dyDescent="0.25">
      <c r="A21" t="str">
        <f>CONCATENATE(613231,",",ROW(PLCTTHDMGUTCKHTT_06612!A21),"|",COLUMN(PLCTTHDMGUTCKHTT_06612!A21),",0",",0")</f>
        <v>613231,21|1,0,0</v>
      </c>
      <c r="B21" t="str">
        <f>CONCATENATE(613249,",",ROW(PLCTTHDMGUTCKHTT_06612!B21),"|",COLUMN(PLCTTHDMGUTCKHTT_06612!B21),",0",",0")</f>
        <v>613249,21|2,0,0</v>
      </c>
      <c r="C21" t="str">
        <f>CONCATENATE(613275,",",ROW(PLCTTHDMGUTCKHTT_06612!C21),"|",COLUMN(PLCTTHDMGUTCKHTT_06612!C21),",0",",0")</f>
        <v>613275,21|3,0,0</v>
      </c>
      <c r="D21" t="str">
        <f>CONCATENATE(613222,",",ROW(PLCTTHDMGUTCKHTT_06612!D21),"|",COLUMN(PLCTTHDMGUTCKHTT_06612!D21),",0",",0")</f>
        <v>613222,21|4,0,0</v>
      </c>
      <c r="E21" t="str">
        <f>CONCATENATE(613316,",",ROW(PLCTTHDMGUTCKHTT_06612!E21),"|",COLUMN(PLCTTHDMGUTCKHTT_06612!E21),",0",",0")</f>
        <v>613316,21|5,0,0</v>
      </c>
    </row>
    <row r="22" spans="1:5" x14ac:dyDescent="0.25">
      <c r="A22" t="str">
        <f>CONCATENATE(613232,",",ROW(PLCTTHDMGUTCKHTT_06612!A22),"|",COLUMN(PLCTTHDMGUTCKHTT_06612!A22),",0",",0")</f>
        <v>613232,22|1,0,0</v>
      </c>
      <c r="B22" t="str">
        <f>CONCATENATE(613256,",",ROW(PLCTTHDMGUTCKHTT_06612!B22),"|",COLUMN(PLCTTHDMGUTCKHTT_06612!B22),",0",",0")</f>
        <v>613256,22|2,0,0</v>
      </c>
      <c r="C22" t="str">
        <f>CONCATENATE(613276,",",ROW(PLCTTHDMGUTCKHTT_06612!C22),"|",COLUMN(PLCTTHDMGUTCKHTT_06612!C22),",0",",0")</f>
        <v>613276,22|3,0,0</v>
      </c>
      <c r="D22" t="str">
        <f>CONCATENATE(613288,",",ROW(PLCTTHDMGUTCKHTT_06612!D22),"|",COLUMN(PLCTTHDMGUTCKHTT_06612!D22),",0",",0")</f>
        <v>613288,22|4,0,0</v>
      </c>
      <c r="E22" t="str">
        <f>CONCATENATE(613317,",",ROW(PLCTTHDMGUTCKHTT_06612!E22),"|",COLUMN(PLCTTHDMGUTCKHTT_06612!E22),",0",",0")</f>
        <v>613317,22|5,0,0</v>
      </c>
    </row>
    <row r="23" spans="1:5" x14ac:dyDescent="0.25">
      <c r="A23" t="str">
        <f>CONCATENATE(613233,",",ROW(PLCTTHDMGUTCKHTT_06612!A23),"|",COLUMN(PLCTTHDMGUTCKHTT_06612!A23),",0",",0")</f>
        <v>613233,23|1,0,0</v>
      </c>
      <c r="B23" t="str">
        <f>CONCATENATE(613250,",",ROW(PLCTTHDMGUTCKHTT_06612!B23),"|",COLUMN(PLCTTHDMGUTCKHTT_06612!B23),",0",",0")</f>
        <v>613250,23|2,0,0</v>
      </c>
      <c r="C23" t="str">
        <f>CONCATENATE(613277,",",ROW(PLCTTHDMGUTCKHTT_06612!C23),"|",COLUMN(PLCTTHDMGUTCKHTT_06612!C23),",0",",0")</f>
        <v>613277,23|3,0,0</v>
      </c>
      <c r="D23" t="str">
        <f>CONCATENATE(613289,",",ROW(PLCTTHDMGUTCKHTT_06612!D23),"|",COLUMN(PLCTTHDMGUTCKHTT_06612!D23),",0",",0")</f>
        <v>613289,23|4,0,0</v>
      </c>
      <c r="E23" t="str">
        <f>CONCATENATE(613318,",",ROW(PLCTTHDMGUTCKHTT_06612!E23),"|",COLUMN(PLCTTHDMGUTCKHTT_06612!E23),",0",",0")</f>
        <v>613318,23|5,0,0</v>
      </c>
    </row>
    <row r="24" spans="1:5" x14ac:dyDescent="0.25">
      <c r="A24" t="str">
        <f>CONCATENATE(613243,",",ROW(PLCTTHDMGUTCKHTT_06612!A24),"|",COLUMN(PLCTTHDMGUTCKHTT_06612!A24),",0",",0")</f>
        <v>613243,24|1,0,0</v>
      </c>
      <c r="B24" t="str">
        <f>CONCATENATE(613349,",",ROW(PLCTTHDMGUTCKHTT_06612!B24),"|",COLUMN(PLCTTHDMGUTCKHTT_06612!B24),",0",",0")</f>
        <v>613349,24|2,0,0</v>
      </c>
      <c r="C24" t="str">
        <f>CONCATENATE(613278,",",ROW(PLCTTHDMGUTCKHTT_06612!C24),"|",COLUMN(PLCTTHDMGUTCKHTT_06612!C24),",0",",0")</f>
        <v>613278,24|3,0,0</v>
      </c>
      <c r="D24" t="str">
        <f>CONCATENATE(613290,",",ROW(PLCTTHDMGUTCKHTT_06612!D24),"|",COLUMN(PLCTTHDMGUTCKHTT_06612!D24),",0",",0")</f>
        <v>613290,24|4,0,0</v>
      </c>
      <c r="E24" t="str">
        <f>CONCATENATE(613319,",",ROW(PLCTTHDMGUTCKHTT_06612!E24),"|",COLUMN(PLCTTHDMGUTCKHTT_06612!E24),",0",",0")</f>
        <v>613319,24|5,0,0</v>
      </c>
    </row>
    <row r="25" spans="1:5" x14ac:dyDescent="0.25">
      <c r="A25" t="str">
        <f>CONCATENATE(613356,",",ROW(PLCTTHDMGUTCKHTT_06612!A25),"|",COLUMN(PLCTTHDMGUTCKHTT_06612!A25),",0",",0")</f>
        <v>613356,25|1,0,0</v>
      </c>
      <c r="B25" t="str">
        <f>CONCATENATE(613251,",",ROW(PLCTTHDMGUTCKHTT_06612!B25),"|",COLUMN(PLCTTHDMGUTCKHTT_06612!B25),",0",",0")</f>
        <v>613251,25|2,0,0</v>
      </c>
      <c r="C25" t="str">
        <f>CONCATENATE(613279,",",ROW(PLCTTHDMGUTCKHTT_06612!C25),"|",COLUMN(PLCTTHDMGUTCKHTT_06612!C25),",0",",0")</f>
        <v>613279,25|3,0,0</v>
      </c>
      <c r="D25" t="str">
        <f>CONCATENATE(613291,",",ROW(PLCTTHDMGUTCKHTT_06612!D25),"|",COLUMN(PLCTTHDMGUTCKHTT_06612!D25),",0",",0")</f>
        <v>613291,25|4,0,0</v>
      </c>
      <c r="E25" t="str">
        <f>CONCATENATE(613320,",",ROW(PLCTTHDMGUTCKHTT_06612!E25),"|",COLUMN(PLCTTHDMGUTCKHTT_06612!E25),",0",",0")</f>
        <v>613320,25|5,0,0</v>
      </c>
    </row>
    <row r="26" spans="1:5" x14ac:dyDescent="0.25">
      <c r="A26" t="str">
        <f>CONCATENATE(613261,",",ROW(PLCTTHDMGUTCKHTT_06612!A26),"|",COLUMN(PLCTTHDMGUTCKHTT_06612!A26),",0",",0")</f>
        <v>613261,26|1,0,0</v>
      </c>
      <c r="B26" t="str">
        <f>CONCATENATE(613236,",",ROW(PLCTTHDMGUTCKHTT_06612!B26),"|",COLUMN(PLCTTHDMGUTCKHTT_06612!B26),",0",",0")</f>
        <v>613236,26|2,0,0</v>
      </c>
      <c r="C26" t="str">
        <f>CONCATENATE(613280,",",ROW(PLCTTHDMGUTCKHTT_06612!C26),"|",COLUMN(PLCTTHDMGUTCKHTT_06612!C26),",0",",0")</f>
        <v>613280,26|3,0,0</v>
      </c>
      <c r="D26" t="str">
        <f>CONCATENATE(613292,",",ROW(PLCTTHDMGUTCKHTT_06612!D26),"|",COLUMN(PLCTTHDMGUTCKHTT_06612!D26),",0",",0")</f>
        <v>613292,26|4,0,0</v>
      </c>
      <c r="E26" t="str">
        <f>CONCATENATE(613321,",",ROW(PLCTTHDMGUTCKHTT_06612!E26),"|",COLUMN(PLCTTHDMGUTCKHTT_06612!E26),",0",",0")</f>
        <v>613321,26|5,0,0</v>
      </c>
    </row>
    <row r="27" spans="1:5" x14ac:dyDescent="0.25">
      <c r="A27" t="str">
        <f>CONCATENATE(613301,",",ROW(PLCTTHDMGUTCKHTT_06612!A27),"|",COLUMN(PLCTTHDMGUTCKHTT_06612!A27),",0",",0")</f>
        <v>613301,27|1,0,0</v>
      </c>
      <c r="B27" t="str">
        <f>CONCATENATE(613257,",",ROW(PLCTTHDMGUTCKHTT_06612!B27),"|",COLUMN(PLCTTHDMGUTCKHTT_06612!B27),",0",",0")</f>
        <v>613257,27|2,0,0</v>
      </c>
      <c r="C27" t="str">
        <f>CONCATENATE(613281,",",ROW(PLCTTHDMGUTCKHTT_06612!C27),"|",COLUMN(PLCTTHDMGUTCKHTT_06612!C27),",0",",0")</f>
        <v>613281,27|3,0,0</v>
      </c>
      <c r="D27" t="str">
        <f>CONCATENATE(613293,",",ROW(PLCTTHDMGUTCKHTT_06612!D27),"|",COLUMN(PLCTTHDMGUTCKHTT_06612!D27),",0",",0")</f>
        <v>613293,27|4,0,0</v>
      </c>
      <c r="E27" t="str">
        <f>CONCATENATE(613322,",",ROW(PLCTTHDMGUTCKHTT_06612!E27),"|",COLUMN(PLCTTHDMGUTCKHTT_06612!E27),",0",",0")</f>
        <v>613322,27|5,0,0</v>
      </c>
    </row>
    <row r="28" spans="1:5" x14ac:dyDescent="0.25">
      <c r="A28" t="str">
        <f>CONCATENATE(613264,",",ROW(PLCTTHDMGUTCKHTT_06612!A28),"|",COLUMN(PLCTTHDMGUTCKHTT_06612!A28),",0",",0")</f>
        <v>613264,28|1,0,0</v>
      </c>
      <c r="B28" t="str">
        <f>CONCATENATE(613376,",",ROW(PLCTTHDMGUTCKHTT_06612!B28),"|",COLUMN(PLCTTHDMGUTCKHTT_06612!B28),",0",",0")</f>
        <v>613376,28|2,0,0</v>
      </c>
      <c r="C28" t="str">
        <f>CONCATENATE(613282,",",ROW(PLCTTHDMGUTCKHTT_06612!C28),"|",COLUMN(PLCTTHDMGUTCKHTT_06612!C28),",0",",0")</f>
        <v>613282,28|3,0,0</v>
      </c>
      <c r="D28" t="str">
        <f>CONCATENATE(613294,",",ROW(PLCTTHDMGUTCKHTT_06612!D28),"|",COLUMN(PLCTTHDMGUTCKHTT_06612!D28),",0",",0")</f>
        <v>613294,28|4,0,0</v>
      </c>
      <c r="E28" t="str">
        <f>CONCATENATE(613323,",",ROW(PLCTTHDMGUTCKHTT_06612!E28),"|",COLUMN(PLCTTHDMGUTCKHTT_06612!E28),",0",",0")</f>
        <v>613323,28|5,0,0</v>
      </c>
    </row>
    <row r="29" spans="1:5" x14ac:dyDescent="0.25">
      <c r="A29" t="str">
        <f>CONCATENATE(613262,",",ROW(PLCTTHDMGUTCKHTT_06612!A29),"|",COLUMN(PLCTTHDMGUTCKHTT_06612!A29),",0",",0")</f>
        <v>613262,29|1,0,0</v>
      </c>
      <c r="B29" t="str">
        <f>CONCATENATE(613377,",",ROW(PLCTTHDMGUTCKHTT_06612!B29),"|",COLUMN(PLCTTHDMGUTCKHTT_06612!B29),",0",",0")</f>
        <v>613377,29|2,0,0</v>
      </c>
      <c r="C29" t="str">
        <f>CONCATENATE(613283,",",ROW(PLCTTHDMGUTCKHTT_06612!C29),"|",COLUMN(PLCTTHDMGUTCKHTT_06612!C29),",0",",0")</f>
        <v>613283,29|3,0,0</v>
      </c>
      <c r="D29" t="str">
        <f>CONCATENATE(613295,",",ROW(PLCTTHDMGUTCKHTT_06612!D29),"|",COLUMN(PLCTTHDMGUTCKHTT_06612!D29),",0",",0")</f>
        <v>613295,29|4,0,0</v>
      </c>
      <c r="E29" t="str">
        <f>CONCATENATE(613324,",",ROW(PLCTTHDMGUTCKHTT_06612!E29),"|",COLUMN(PLCTTHDMGUTCKHTT_06612!E29),",0",",0")</f>
        <v>613324,29|5,0,0</v>
      </c>
    </row>
    <row r="30" spans="1:5" x14ac:dyDescent="0.25">
      <c r="A30" t="str">
        <f>CONCATENATE(613263,",",ROW(PLCTTHDMGUTCKHTT_06612!A30),"|",COLUMN(PLCTTHDMGUTCKHTT_06612!A30),",0",",0")</f>
        <v>613263,30|1,0,0</v>
      </c>
      <c r="B30" t="str">
        <f>CONCATENATE(613378,",",ROW(PLCTTHDMGUTCKHTT_06612!B30),"|",COLUMN(PLCTTHDMGUTCKHTT_06612!B30),",0",",0")</f>
        <v>613378,30|2,0,0</v>
      </c>
      <c r="C30" t="str">
        <f>CONCATENATE(613284,",",ROW(PLCTTHDMGUTCKHTT_06612!C30),"|",COLUMN(PLCTTHDMGUTCKHTT_06612!C30),",0",",0")</f>
        <v>613284,30|3,0,0</v>
      </c>
      <c r="D30" t="str">
        <f>CONCATENATE(613296,",",ROW(PLCTTHDMGUTCKHTT_06612!D30),"|",COLUMN(PLCTTHDMGUTCKHTT_06612!D30),",0",",0")</f>
        <v>613296,30|4,0,0</v>
      </c>
      <c r="E30" t="str">
        <f>CONCATENATE(613325,",",ROW(PLCTTHDMGUTCKHTT_06612!E30),"|",COLUMN(PLCTTHDMGUTCKHTT_06612!E30),",0",",0")</f>
        <v>613325,30|5,0,0</v>
      </c>
    </row>
    <row r="31" spans="1:5" x14ac:dyDescent="0.25">
      <c r="A31" t="str">
        <f>CONCATENATE(613334,",",ROW(PLCTTHDMGUTCKHTT_06612!A31),"|",COLUMN(PLCTTHDMGUTCKHTT_06612!A31),",0",",0")</f>
        <v>613334,31|1,0,0</v>
      </c>
      <c r="B31" t="str">
        <f>CONCATENATE(613350,",",ROW(PLCTTHDMGUTCKHTT_06612!B31),"|",COLUMN(PLCTTHDMGUTCKHTT_06612!B31),",0",",0")</f>
        <v>613350,31|2,0,0</v>
      </c>
      <c r="C31" t="str">
        <f>CONCATENATE(613285,",",ROW(PLCTTHDMGUTCKHTT_06612!C31),"|",COLUMN(PLCTTHDMGUTCKHTT_06612!C31),",0",",0")</f>
        <v>613285,31|3,0,0</v>
      </c>
      <c r="D31" t="str">
        <f>CONCATENATE(613297,",",ROW(PLCTTHDMGUTCKHTT_06612!D31),"|",COLUMN(PLCTTHDMGUTCKHTT_06612!D31),",0",",0")</f>
        <v>613297,31|4,0,0</v>
      </c>
      <c r="E31" t="str">
        <f>CONCATENATE(613326,",",ROW(PLCTTHDMGUTCKHTT_06612!E31),"|",COLUMN(PLCTTHDMGUTCKHTT_06612!E31),",0",",0")</f>
        <v>613326,31|5,0,0</v>
      </c>
    </row>
    <row r="32" spans="1:5" x14ac:dyDescent="0.25">
      <c r="A32" t="str">
        <f>CONCATENATE(613234,",",ROW(PLCTTHDMGUTCKHTT_06612!A32),"|",COLUMN(PLCTTHDMGUTCKHTT_06612!A32),",0",",0")</f>
        <v>613234,32|1,0,0</v>
      </c>
      <c r="B32" t="str">
        <f>CONCATENATE(613379,",",ROW(PLCTTHDMGUTCKHTT_06612!B32),"|",COLUMN(PLCTTHDMGUTCKHTT_06612!B32),",0",",0")</f>
        <v>613379,32|2,0,0</v>
      </c>
      <c r="C32" t="str">
        <f>CONCATENATE(613286,",",ROW(PLCTTHDMGUTCKHTT_06612!C32),"|",COLUMN(PLCTTHDMGUTCKHTT_06612!C32),",0",",0")</f>
        <v>613286,32|3,0,0</v>
      </c>
      <c r="D32" t="str">
        <f>CONCATENATE(613298,",",ROW(PLCTTHDMGUTCKHTT_06612!D32),"|",COLUMN(PLCTTHDMGUTCKHTT_06612!D32),",0",",0")</f>
        <v>613298,32|4,0,0</v>
      </c>
      <c r="E32" t="str">
        <f>CONCATENATE(613327,",",ROW(PLCTTHDMGUTCKHTT_06612!E32),"|",COLUMN(PLCTTHDMGUTCKHTT_06612!E32),",0",",0")</f>
        <v>613327,32|5,0,0</v>
      </c>
    </row>
    <row r="33" spans="1:5" x14ac:dyDescent="0.25">
      <c r="A33" t="str">
        <f>CONCATENATE(613357,",",ROW(PLCTTHDMGUTCKHTT_06612!A33),"|",COLUMN(PLCTTHDMGUTCKHTT_06612!A33),",0",",0")</f>
        <v>613357,33|1,0,0</v>
      </c>
      <c r="B33" t="str">
        <f>CONCATENATE(613380,",",ROW(PLCTTHDMGUTCKHTT_06612!B33),"|",COLUMN(PLCTTHDMGUTCKHTT_06612!B33),",0",",0")</f>
        <v>613380,33|2,0,0</v>
      </c>
      <c r="C33" t="str">
        <f>CONCATENATE(613287,",",ROW(PLCTTHDMGUTCKHTT_06612!C33),"|",COLUMN(PLCTTHDMGUTCKHTT_06612!C33),",0",",0")</f>
        <v>613287,33|3,0,0</v>
      </c>
      <c r="D33" t="str">
        <f>CONCATENATE(613336,",",ROW(PLCTTHDMGUTCKHTT_06612!D33),"|",COLUMN(PLCTTHDMGUTCKHTT_06612!D33),",0",",0")</f>
        <v>613336,33|4,0,0</v>
      </c>
      <c r="E33" t="str">
        <f>CONCATENATE(613361,",",ROW(PLCTTHDMGUTCKHTT_06612!E33),"|",COLUMN(PLCTTHDMGUTCKHTT_06612!E33),",0",",0")</f>
        <v>613361,33|5,0,0</v>
      </c>
    </row>
    <row r="34" spans="1:5" x14ac:dyDescent="0.25">
      <c r="A34" t="str">
        <f>CONCATENATE(613246,",",ROW(PLCTTHDMGUTCKHTT_06612!A34),"|",COLUMN(PLCTTHDMGUTCKHTT_06612!A34),",0",",0")</f>
        <v>613246,34|1,0,0</v>
      </c>
      <c r="B34" t="str">
        <f>CONCATENATE(613328,",",ROW(PLCTTHDMGUTCKHTT_06612!B34),"|",COLUMN(PLCTTHDMGUTCKHTT_06612!B34),",0",",0")</f>
        <v>613328,34|2,0,0</v>
      </c>
      <c r="C34" t="str">
        <f>CONCATENATE(613241,",",ROW(PLCTTHDMGUTCKHTT_06612!C34),"|",COLUMN(PLCTTHDMGUTCKHTT_06612!C34),",0",",0")</f>
        <v>613241,34|3,0,0</v>
      </c>
      <c r="D34" t="str">
        <f>CONCATENATE(613337,",",ROW(PLCTTHDMGUTCKHTT_06612!D34),"|",COLUMN(PLCTTHDMGUTCKHTT_06612!D34),",0",",0")</f>
        <v>613337,34|4,0,0</v>
      </c>
      <c r="E34" t="str">
        <f>CONCATENATE(613362,",",ROW(PLCTTHDMGUTCKHTT_06612!E34),"|",COLUMN(PLCTTHDMGUTCKHTT_06612!E34),",0",",0")</f>
        <v>613362,34|5,0,0</v>
      </c>
    </row>
    <row r="35" spans="1:5" x14ac:dyDescent="0.25">
      <c r="A35" t="str">
        <f>CONCATENATE(613358,",",ROW(PLCTTHDMGUTCKHTT_06612!A35),"|",COLUMN(PLCTTHDMGUTCKHTT_06612!A35),",0",",0")</f>
        <v>613358,35|1,0,0</v>
      </c>
      <c r="B35" t="str">
        <f>CONCATENATE(613237,",",ROW(PLCTTHDMGUTCKHTT_06612!B35),"|",COLUMN(PLCTTHDMGUTCKHTT_06612!B35),",0",",0")</f>
        <v>613237,35|2,0,0</v>
      </c>
      <c r="C35" t="str">
        <f>CONCATENATE(613269,",",ROW(PLCTTHDMGUTCKHTT_06612!C35),"|",COLUMN(PLCTTHDMGUTCKHTT_06612!C35),",0",",0")</f>
        <v>613269,35|3,0,0</v>
      </c>
      <c r="D35" t="str">
        <f>CONCATENATE(613338,",",ROW(PLCTTHDMGUTCKHTT_06612!D35),"|",COLUMN(PLCTTHDMGUTCKHTT_06612!D35),",0",",0")</f>
        <v>613338,35|4,0,0</v>
      </c>
      <c r="E35" t="str">
        <f>CONCATENATE(613363,",",ROW(PLCTTHDMGUTCKHTT_06612!E35),"|",COLUMN(PLCTTHDMGUTCKHTT_06612!E35),",0",",0")</f>
        <v>613363,35|5,0,0</v>
      </c>
    </row>
    <row r="36" spans="1:5" x14ac:dyDescent="0.25">
      <c r="A36" t="str">
        <f>CONCATENATE(613235,",",ROW(PLCTTHDMGUTCKHTT_06612!A36),"|",COLUMN(PLCTTHDMGUTCKHTT_06612!A36),",0",",0")</f>
        <v>613235,36|1,0,0</v>
      </c>
      <c r="B36" t="str">
        <f>CONCATENATE(613238,",",ROW(PLCTTHDMGUTCKHTT_06612!B36),"|",COLUMN(PLCTTHDMGUTCKHTT_06612!B36),",0",",0")</f>
        <v>613238,36|2,0,0</v>
      </c>
      <c r="C36" t="str">
        <f>CONCATENATE(613242,",",ROW(PLCTTHDMGUTCKHTT_06612!C36),"|",COLUMN(PLCTTHDMGUTCKHTT_06612!C36),",0",",0")</f>
        <v>613242,36|3,0,0</v>
      </c>
      <c r="D36" t="str">
        <f>CONCATENATE(613339,",",ROW(PLCTTHDMGUTCKHTT_06612!D36),"|",COLUMN(PLCTTHDMGUTCKHTT_06612!D36),",0",",0")</f>
        <v>613339,36|4,0,0</v>
      </c>
      <c r="E36" t="str">
        <f>CONCATENATE(613364,",",ROW(PLCTTHDMGUTCKHTT_06612!E36),"|",COLUMN(PLCTTHDMGUTCKHTT_06612!E36),",0",",0")</f>
        <v>613364,36|5,0,0</v>
      </c>
    </row>
    <row r="37" spans="1:5" x14ac:dyDescent="0.25">
      <c r="A37" t="str">
        <f>CONCATENATE(613359,",",ROW(PLCTTHDMGUTCKHTT_06612!A37),"|",COLUMN(PLCTTHDMGUTCKHTT_06612!A37),",0",",0")</f>
        <v>613359,37|1,0,0</v>
      </c>
      <c r="B37" t="str">
        <f>CONCATENATE(613223,",",ROW(PLCTTHDMGUTCKHTT_06612!B37),"|",COLUMN(PLCTTHDMGUTCKHTT_06612!B37),",0",",0")</f>
        <v>613223,37|2,0,0</v>
      </c>
      <c r="C37" t="str">
        <f>CONCATENATE(613245,",",ROW(PLCTTHDMGUTCKHTT_06612!C37),"|",COLUMN(PLCTTHDMGUTCKHTT_06612!C37),",0",",0")</f>
        <v>613245,37|3,0,0</v>
      </c>
      <c r="D37" t="str">
        <f>CONCATENATE(613340,",",ROW(PLCTTHDMGUTCKHTT_06612!D37),"|",COLUMN(PLCTTHDMGUTCKHTT_06612!D37),",0",",0")</f>
        <v>613340,37|4,0,0</v>
      </c>
      <c r="E37" t="str">
        <f>CONCATENATE(613365,",",ROW(PLCTTHDMGUTCKHTT_06612!E37),"|",COLUMN(PLCTTHDMGUTCKHTT_06612!E37),",0",",0")</f>
        <v>613365,37|5,0,0</v>
      </c>
    </row>
    <row r="38" spans="1:5" x14ac:dyDescent="0.25">
      <c r="A38" t="str">
        <f>CONCATENATE(613360,",",ROW(PLCTTHDMGUTCKHTT_06612!A38),"|",COLUMN(PLCTTHDMGUTCKHTT_06612!A38),",0",",0")</f>
        <v>613360,38|1,0,0</v>
      </c>
      <c r="B38" t="str">
        <f>CONCATENATE(613329,",",ROW(PLCTTHDMGUTCKHTT_06612!B38),"|",COLUMN(PLCTTHDMGUTCKHTT_06612!B38),",0",",0")</f>
        <v>613329,38|2,0,0</v>
      </c>
      <c r="C38" t="str">
        <f>CONCATENATE(613204,",",ROW(PLCTTHDMGUTCKHTT_06612!C38),"|",COLUMN(PLCTTHDMGUTCKHTT_06612!C38),",0",",0")</f>
        <v>613204,38|3,0,0</v>
      </c>
      <c r="D38" t="str">
        <f>CONCATENATE(613341,",",ROW(PLCTTHDMGUTCKHTT_06612!D38),"|",COLUMN(PLCTTHDMGUTCKHTT_06612!D38),",0",",0")</f>
        <v>613341,38|4,0,0</v>
      </c>
      <c r="E38" t="str">
        <f>CONCATENATE(613366,",",ROW(PLCTTHDMGUTCKHTT_06612!E38),"|",COLUMN(PLCTTHDMGUTCKHTT_06612!E38),",0",",0")</f>
        <v>613366,38|5,0,0</v>
      </c>
    </row>
    <row r="39" spans="1:5" x14ac:dyDescent="0.25">
      <c r="A39" t="str">
        <f>CONCATENATE(613345,",",ROW(PLCTTHDMGUTCKHTT_06612!A39),"|",COLUMN(PLCTTHDMGUTCKHTT_06612!A39),",0",",0")</f>
        <v>613345,39|1,0,0</v>
      </c>
      <c r="B39" t="str">
        <f>CONCATENATE(613258,",",ROW(PLCTTHDMGUTCKHTT_06612!B39),"|",COLUMN(PLCTTHDMGUTCKHTT_06612!B39),",0",",0")</f>
        <v>613258,39|2,0,0</v>
      </c>
      <c r="C39" t="str">
        <f>CONCATENATE(613205,",",ROW(PLCTTHDMGUTCKHTT_06612!C39),"|",COLUMN(PLCTTHDMGUTCKHTT_06612!C39),",0",",0")</f>
        <v>613205,39|3,0,0</v>
      </c>
      <c r="D39" t="str">
        <f>CONCATENATE(613342,",",ROW(PLCTTHDMGUTCKHTT_06612!D39),"|",COLUMN(PLCTTHDMGUTCKHTT_06612!D39),",0",",0")</f>
        <v>613342,39|4,0,0</v>
      </c>
      <c r="E39" t="str">
        <f>CONCATENATE(613367,",",ROW(PLCTTHDMGUTCKHTT_06612!E39),"|",COLUMN(PLCTTHDMGUTCKHTT_06612!E39),",0",",0")</f>
        <v>613367,39|5,0,0</v>
      </c>
    </row>
  </sheetData>
  <sheetProtection password="CB7D"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activeCell="G13" sqref="G13"/>
    </sheetView>
  </sheetViews>
  <sheetFormatPr defaultRowHeight="15" x14ac:dyDescent="0.25"/>
  <cols>
    <col min="1" max="1" width="31.28515625" bestFit="1" customWidth="1"/>
    <col min="2" max="2" width="12.7109375" bestFit="1" customWidth="1"/>
    <col min="3" max="3" width="16.7109375" bestFit="1" customWidth="1"/>
    <col min="4" max="4" width="12.7109375" bestFit="1" customWidth="1"/>
    <col min="5" max="5" width="14.42578125" bestFit="1" customWidth="1"/>
  </cols>
  <sheetData>
    <row r="1" spans="1:5" ht="20.25" x14ac:dyDescent="0.3">
      <c r="A1" s="2220" t="s">
        <v>18</v>
      </c>
      <c r="B1" s="2220" t="s">
        <v>5</v>
      </c>
      <c r="C1" s="2220" t="s">
        <v>5</v>
      </c>
      <c r="D1" s="2220" t="s">
        <v>5</v>
      </c>
      <c r="E1" s="2220" t="s">
        <v>5</v>
      </c>
    </row>
    <row r="2" spans="1:5" ht="18.75" x14ac:dyDescent="0.3">
      <c r="A2" s="2221" t="s">
        <v>602</v>
      </c>
      <c r="B2" s="2221" t="s">
        <v>5</v>
      </c>
      <c r="C2" s="2221" t="s">
        <v>5</v>
      </c>
      <c r="D2" s="2221" t="s">
        <v>5</v>
      </c>
      <c r="E2" s="2221" t="s">
        <v>5</v>
      </c>
    </row>
    <row r="3" spans="1:5" ht="18.75" x14ac:dyDescent="0.3">
      <c r="A3" s="2221" t="s">
        <v>36</v>
      </c>
      <c r="B3" s="2221" t="s">
        <v>5</v>
      </c>
      <c r="C3" s="2221" t="s">
        <v>5</v>
      </c>
      <c r="D3" s="2221" t="s">
        <v>5</v>
      </c>
      <c r="E3" s="2221" t="s">
        <v>5</v>
      </c>
    </row>
    <row r="4" spans="1:5" ht="18.75" x14ac:dyDescent="0.25">
      <c r="A4" s="1103" t="s">
        <v>31</v>
      </c>
      <c r="B4" s="1103" t="s">
        <v>32</v>
      </c>
      <c r="C4" s="1103" t="s">
        <v>33</v>
      </c>
      <c r="D4" s="1103" t="s">
        <v>384</v>
      </c>
      <c r="E4" s="1103" t="s">
        <v>385</v>
      </c>
    </row>
    <row r="5" spans="1:5" ht="16.5" x14ac:dyDescent="0.25">
      <c r="A5" s="1301" t="s">
        <v>40</v>
      </c>
      <c r="B5" s="1126" t="s">
        <v>113</v>
      </c>
      <c r="C5" s="1302" t="s">
        <v>80</v>
      </c>
      <c r="D5" s="1303" t="s">
        <v>222</v>
      </c>
      <c r="E5" s="1214" t="s">
        <v>81</v>
      </c>
    </row>
    <row r="6" spans="1:5" ht="49.5" x14ac:dyDescent="0.25">
      <c r="A6" s="1215" t="s">
        <v>536</v>
      </c>
      <c r="B6" s="1102" t="s">
        <v>5</v>
      </c>
      <c r="C6" s="1326"/>
      <c r="D6" s="1202" t="s">
        <v>5</v>
      </c>
      <c r="E6" s="1388" t="s">
        <v>5</v>
      </c>
    </row>
    <row r="7" spans="1:5" ht="49.5" x14ac:dyDescent="0.25">
      <c r="A7" s="1304" t="s">
        <v>674</v>
      </c>
      <c r="B7" s="1212" t="s">
        <v>222</v>
      </c>
      <c r="C7" s="1451"/>
      <c r="D7" s="1177" t="s">
        <v>5</v>
      </c>
      <c r="E7" s="1362" t="s">
        <v>5</v>
      </c>
    </row>
    <row r="8" spans="1:5" ht="49.5" x14ac:dyDescent="0.25">
      <c r="A8" s="1216" t="s">
        <v>625</v>
      </c>
      <c r="B8" s="1290" t="s">
        <v>81</v>
      </c>
      <c r="C8" s="1452"/>
      <c r="D8" s="1178" t="s">
        <v>5</v>
      </c>
      <c r="E8" s="1363" t="s">
        <v>5</v>
      </c>
    </row>
    <row r="9" spans="1:5" ht="33" x14ac:dyDescent="0.25">
      <c r="A9" s="1460" t="s">
        <v>684</v>
      </c>
      <c r="B9" s="1213" t="s">
        <v>377</v>
      </c>
      <c r="C9" s="1453"/>
      <c r="D9" s="1179" t="s">
        <v>5</v>
      </c>
      <c r="E9" s="1364" t="s">
        <v>5</v>
      </c>
    </row>
    <row r="10" spans="1:5" ht="33" x14ac:dyDescent="0.25">
      <c r="A10" s="1251" t="s">
        <v>647</v>
      </c>
      <c r="B10" s="1229" t="s">
        <v>378</v>
      </c>
      <c r="C10" s="1454"/>
      <c r="D10" s="1180" t="s">
        <v>5</v>
      </c>
      <c r="E10" s="1365" t="s">
        <v>5</v>
      </c>
    </row>
    <row r="11" spans="1:5" ht="49.5" x14ac:dyDescent="0.25">
      <c r="A11" s="1461" t="s">
        <v>685</v>
      </c>
      <c r="B11" s="1230" t="s">
        <v>325</v>
      </c>
      <c r="C11" s="1135"/>
      <c r="D11" s="1181" t="s">
        <v>5</v>
      </c>
      <c r="E11" s="1366" t="s">
        <v>5</v>
      </c>
    </row>
    <row r="12" spans="1:5" ht="33" x14ac:dyDescent="0.25">
      <c r="A12" s="1305" t="s">
        <v>675</v>
      </c>
      <c r="B12" s="1250" t="s">
        <v>381</v>
      </c>
      <c r="C12" s="1306"/>
      <c r="D12" s="1182" t="s">
        <v>5</v>
      </c>
      <c r="E12" s="1367" t="s">
        <v>5</v>
      </c>
    </row>
    <row r="13" spans="1:5" ht="33" x14ac:dyDescent="0.25">
      <c r="A13" s="1127" t="s">
        <v>614</v>
      </c>
      <c r="B13" s="1231" t="s">
        <v>382</v>
      </c>
      <c r="C13" s="1307"/>
      <c r="D13" s="1183" t="s">
        <v>5</v>
      </c>
      <c r="E13" s="1368" t="s">
        <v>5</v>
      </c>
    </row>
    <row r="14" spans="1:5" ht="33" x14ac:dyDescent="0.25">
      <c r="A14" s="1252" t="s">
        <v>648</v>
      </c>
      <c r="B14" s="1291" t="s">
        <v>326</v>
      </c>
      <c r="C14" s="1308"/>
      <c r="D14" s="1184" t="s">
        <v>5</v>
      </c>
      <c r="E14" s="1369" t="s">
        <v>5</v>
      </c>
    </row>
    <row r="15" spans="1:5" ht="33" x14ac:dyDescent="0.25">
      <c r="A15" s="1258" t="s">
        <v>654</v>
      </c>
      <c r="B15" s="1131" t="s">
        <v>315</v>
      </c>
      <c r="C15" s="1309"/>
      <c r="D15" s="1185" t="s">
        <v>5</v>
      </c>
      <c r="E15" s="1370" t="s">
        <v>5</v>
      </c>
    </row>
    <row r="16" spans="1:5" ht="49.5" x14ac:dyDescent="0.25">
      <c r="A16" s="1217" t="s">
        <v>626</v>
      </c>
      <c r="B16" s="1292" t="s">
        <v>379</v>
      </c>
      <c r="C16" s="1310"/>
      <c r="D16" s="1186" t="s">
        <v>5</v>
      </c>
      <c r="E16" s="1371" t="s">
        <v>5</v>
      </c>
    </row>
    <row r="17" spans="1:5" ht="66" x14ac:dyDescent="0.25">
      <c r="A17" s="1218" t="s">
        <v>627</v>
      </c>
      <c r="B17" s="1420" t="s">
        <v>296</v>
      </c>
      <c r="C17" s="1311"/>
      <c r="D17" s="1187" t="s">
        <v>5</v>
      </c>
      <c r="E17" s="1373" t="s">
        <v>5</v>
      </c>
    </row>
    <row r="18" spans="1:5" ht="66" x14ac:dyDescent="0.25">
      <c r="A18" s="1259" t="s">
        <v>655</v>
      </c>
      <c r="B18" s="1108" t="s">
        <v>327</v>
      </c>
      <c r="C18" s="1312"/>
      <c r="D18" s="1188" t="s">
        <v>5</v>
      </c>
      <c r="E18" s="1374" t="s">
        <v>5</v>
      </c>
    </row>
    <row r="19" spans="1:5" ht="49.5" x14ac:dyDescent="0.25">
      <c r="A19" s="1253" t="s">
        <v>649</v>
      </c>
      <c r="B19" s="1107" t="s">
        <v>328</v>
      </c>
      <c r="C19" s="1313"/>
      <c r="D19" s="1189" t="s">
        <v>5</v>
      </c>
      <c r="E19" s="1375" t="s">
        <v>5</v>
      </c>
    </row>
    <row r="20" spans="1:5" ht="82.5" x14ac:dyDescent="0.25">
      <c r="A20" s="1254" t="s">
        <v>650</v>
      </c>
      <c r="B20" s="1132" t="s">
        <v>616</v>
      </c>
      <c r="C20" s="1314"/>
      <c r="D20" s="1190" t="s">
        <v>5</v>
      </c>
      <c r="E20" s="1376" t="s">
        <v>5</v>
      </c>
    </row>
    <row r="21" spans="1:5" ht="49.5" x14ac:dyDescent="0.25">
      <c r="A21" s="1255" t="s">
        <v>651</v>
      </c>
      <c r="B21" s="1421" t="s">
        <v>679</v>
      </c>
      <c r="C21" s="1315"/>
      <c r="D21" s="1191" t="s">
        <v>5</v>
      </c>
      <c r="E21" s="1377" t="s">
        <v>5</v>
      </c>
    </row>
    <row r="22" spans="1:5" ht="66" x14ac:dyDescent="0.25">
      <c r="A22" s="1260" t="s">
        <v>656</v>
      </c>
      <c r="B22" s="1133" t="s">
        <v>617</v>
      </c>
      <c r="C22" s="1316"/>
      <c r="D22" s="1192" t="s">
        <v>5</v>
      </c>
      <c r="E22" s="1378" t="s">
        <v>5</v>
      </c>
    </row>
    <row r="23" spans="1:5" ht="33" x14ac:dyDescent="0.25">
      <c r="A23" s="1256" t="s">
        <v>652</v>
      </c>
      <c r="B23" s="1232" t="s">
        <v>637</v>
      </c>
      <c r="C23" s="1317"/>
      <c r="D23" s="1193" t="s">
        <v>5</v>
      </c>
      <c r="E23" s="1379" t="s">
        <v>5</v>
      </c>
    </row>
    <row r="24" spans="1:5" ht="49.5" x14ac:dyDescent="0.25">
      <c r="A24" s="1257" t="s">
        <v>653</v>
      </c>
      <c r="B24" s="1293" t="s">
        <v>667</v>
      </c>
      <c r="C24" s="1318"/>
      <c r="D24" s="1194" t="s">
        <v>5</v>
      </c>
      <c r="E24" s="1380" t="s">
        <v>5</v>
      </c>
    </row>
    <row r="25" spans="1:5" ht="66" x14ac:dyDescent="0.25">
      <c r="A25" s="1261" t="s">
        <v>657</v>
      </c>
      <c r="B25" s="1294" t="s">
        <v>668</v>
      </c>
      <c r="C25" s="1319"/>
      <c r="D25" s="1195" t="s">
        <v>5</v>
      </c>
      <c r="E25" s="1381" t="s">
        <v>5</v>
      </c>
    </row>
    <row r="26" spans="1:5" ht="82.5" x14ac:dyDescent="0.25">
      <c r="A26" s="1206" t="s">
        <v>620</v>
      </c>
      <c r="B26" s="1109" t="s">
        <v>524</v>
      </c>
      <c r="C26" s="1320"/>
      <c r="D26" s="1196" t="s">
        <v>5</v>
      </c>
      <c r="E26" s="1382" t="s">
        <v>5</v>
      </c>
    </row>
    <row r="27" spans="1:5" ht="33" x14ac:dyDescent="0.25">
      <c r="A27" s="1207" t="s">
        <v>621</v>
      </c>
      <c r="B27" s="1470" t="s">
        <v>380</v>
      </c>
      <c r="C27" s="1449"/>
      <c r="D27" s="1175" t="s">
        <v>5</v>
      </c>
      <c r="E27" s="1360" t="s">
        <v>5</v>
      </c>
    </row>
    <row r="28" spans="1:5" ht="66" x14ac:dyDescent="0.25">
      <c r="A28" s="1220" t="s">
        <v>629</v>
      </c>
      <c r="B28" s="1422" t="s">
        <v>511</v>
      </c>
      <c r="C28" s="1321"/>
      <c r="D28" s="1197" t="s">
        <v>5</v>
      </c>
      <c r="E28" s="1383" t="s">
        <v>5</v>
      </c>
    </row>
    <row r="29" spans="1:5" ht="66" x14ac:dyDescent="0.25">
      <c r="A29" s="1262" t="s">
        <v>658</v>
      </c>
      <c r="B29" s="1372" t="s">
        <v>512</v>
      </c>
      <c r="C29" s="1322"/>
      <c r="D29" s="1198" t="s">
        <v>5</v>
      </c>
      <c r="E29" s="1384" t="s">
        <v>5</v>
      </c>
    </row>
    <row r="30" spans="1:5" ht="66" x14ac:dyDescent="0.25">
      <c r="A30" s="1247" t="s">
        <v>644</v>
      </c>
      <c r="B30" s="1110" t="s">
        <v>525</v>
      </c>
      <c r="C30" s="1393"/>
      <c r="D30" s="1329" t="s">
        <v>5</v>
      </c>
      <c r="E30" s="1267" t="s">
        <v>5</v>
      </c>
    </row>
    <row r="31" spans="1:5" ht="49.5" x14ac:dyDescent="0.25">
      <c r="A31" s="1248" t="s">
        <v>645</v>
      </c>
      <c r="B31" s="1233" t="s">
        <v>522</v>
      </c>
      <c r="C31" s="1394"/>
      <c r="D31" s="1330" t="s">
        <v>5</v>
      </c>
      <c r="E31" s="1271" t="s">
        <v>5</v>
      </c>
    </row>
    <row r="32" spans="1:5" ht="49.5" x14ac:dyDescent="0.25">
      <c r="A32" s="1128" t="s">
        <v>615</v>
      </c>
      <c r="B32" s="1134" t="s">
        <v>580</v>
      </c>
      <c r="C32" s="1323"/>
      <c r="D32" s="1199" t="s">
        <v>5</v>
      </c>
      <c r="E32" s="1385" t="s">
        <v>5</v>
      </c>
    </row>
    <row r="33" spans="1:5" ht="49.5" x14ac:dyDescent="0.25">
      <c r="A33" s="1462" t="s">
        <v>686</v>
      </c>
      <c r="B33" s="1471" t="s">
        <v>576</v>
      </c>
      <c r="C33" s="1450"/>
      <c r="D33" s="1176" t="s">
        <v>5</v>
      </c>
      <c r="E33" s="1361" t="s">
        <v>5</v>
      </c>
    </row>
    <row r="34" spans="1:5" ht="66" x14ac:dyDescent="0.25">
      <c r="A34" s="1221" t="s">
        <v>630</v>
      </c>
      <c r="B34" s="1234" t="s">
        <v>598</v>
      </c>
      <c r="C34" s="1324"/>
      <c r="D34" s="1200" t="s">
        <v>5</v>
      </c>
      <c r="E34" s="1386" t="s">
        <v>5</v>
      </c>
    </row>
    <row r="35" spans="1:5" ht="66" x14ac:dyDescent="0.25">
      <c r="A35" s="1222" t="s">
        <v>631</v>
      </c>
      <c r="B35" s="1235" t="s">
        <v>599</v>
      </c>
      <c r="C35" s="1325"/>
      <c r="D35" s="1201" t="s">
        <v>5</v>
      </c>
      <c r="E35" s="1387" t="s">
        <v>5</v>
      </c>
    </row>
    <row r="36" spans="1:5" ht="66" x14ac:dyDescent="0.25">
      <c r="A36" s="1223" t="s">
        <v>632</v>
      </c>
      <c r="B36" s="1111" t="s">
        <v>604</v>
      </c>
      <c r="C36" s="1396"/>
      <c r="D36" s="1332" t="s">
        <v>5</v>
      </c>
      <c r="E36" s="1269" t="s">
        <v>5</v>
      </c>
    </row>
    <row r="37" spans="1:5" ht="49.5" x14ac:dyDescent="0.25">
      <c r="A37" s="1224" t="s">
        <v>633</v>
      </c>
      <c r="B37" s="1236" t="s">
        <v>638</v>
      </c>
      <c r="C37" s="1397"/>
      <c r="D37" s="1333" t="s">
        <v>5</v>
      </c>
      <c r="E37" s="1270" t="s">
        <v>5</v>
      </c>
    </row>
    <row r="38" spans="1:5" ht="33" x14ac:dyDescent="0.25">
      <c r="A38" s="1249" t="s">
        <v>646</v>
      </c>
      <c r="B38" s="1423" t="s">
        <v>600</v>
      </c>
      <c r="C38" s="1395"/>
      <c r="D38" s="1331" t="s">
        <v>5</v>
      </c>
      <c r="E38" s="1268" t="s">
        <v>5</v>
      </c>
    </row>
    <row r="39" spans="1:5" ht="66" x14ac:dyDescent="0.25">
      <c r="A39" s="1463" t="s">
        <v>687</v>
      </c>
      <c r="B39" s="1237" t="s">
        <v>594</v>
      </c>
      <c r="C39" s="1398"/>
      <c r="D39" s="1334" t="s">
        <v>5</v>
      </c>
      <c r="E39" s="1272" t="s">
        <v>5</v>
      </c>
    </row>
    <row r="40" spans="1:5" ht="49.5" x14ac:dyDescent="0.25">
      <c r="A40" s="1263" t="s">
        <v>659</v>
      </c>
      <c r="B40" s="1472" t="s">
        <v>601</v>
      </c>
      <c r="C40" s="1399"/>
      <c r="D40" s="1335" t="s">
        <v>5</v>
      </c>
      <c r="E40" s="1273" t="s">
        <v>5</v>
      </c>
    </row>
    <row r="41" spans="1:5" ht="33" x14ac:dyDescent="0.25">
      <c r="A41" s="1208" t="s">
        <v>622</v>
      </c>
      <c r="B41" s="1283" t="s">
        <v>587</v>
      </c>
      <c r="C41" s="1400"/>
      <c r="D41" s="1136" t="s">
        <v>5</v>
      </c>
      <c r="E41" s="1274" t="s">
        <v>5</v>
      </c>
    </row>
    <row r="42" spans="1:5" ht="33" x14ac:dyDescent="0.25">
      <c r="A42" s="1464" t="s">
        <v>688</v>
      </c>
      <c r="B42" s="1112" t="s">
        <v>577</v>
      </c>
      <c r="C42" s="1401"/>
      <c r="D42" s="1137" t="s">
        <v>5</v>
      </c>
      <c r="E42" s="1275" t="s">
        <v>5</v>
      </c>
    </row>
    <row r="43" spans="1:5" ht="49.5" x14ac:dyDescent="0.25">
      <c r="A43" s="1264" t="s">
        <v>660</v>
      </c>
      <c r="B43" s="1238" t="s">
        <v>566</v>
      </c>
      <c r="C43" s="1402"/>
      <c r="D43" s="1139" t="s">
        <v>5</v>
      </c>
      <c r="E43" s="1276" t="s">
        <v>5</v>
      </c>
    </row>
    <row r="44" spans="1:5" ht="49.5" x14ac:dyDescent="0.25">
      <c r="A44" s="1265" t="s">
        <v>661</v>
      </c>
      <c r="B44" s="1284" t="s">
        <v>588</v>
      </c>
      <c r="C44" s="1403"/>
      <c r="D44" s="1140" t="s">
        <v>5</v>
      </c>
      <c r="E44" s="1277" t="s">
        <v>5</v>
      </c>
    </row>
    <row r="45" spans="1:5" ht="82.5" x14ac:dyDescent="0.25">
      <c r="A45" s="1225" t="s">
        <v>634</v>
      </c>
      <c r="B45" s="1239" t="s">
        <v>581</v>
      </c>
      <c r="C45" s="1404"/>
      <c r="D45" s="1141" t="s">
        <v>5</v>
      </c>
      <c r="E45" s="1278" t="s">
        <v>5</v>
      </c>
    </row>
    <row r="46" spans="1:5" ht="49.5" x14ac:dyDescent="0.25">
      <c r="A46" s="1465" t="s">
        <v>689</v>
      </c>
      <c r="B46" s="1113" t="s">
        <v>605</v>
      </c>
      <c r="C46" s="1405"/>
      <c r="D46" s="1142" t="s">
        <v>5</v>
      </c>
      <c r="E46" s="1279" t="s">
        <v>5</v>
      </c>
    </row>
    <row r="47" spans="1:5" ht="49.5" x14ac:dyDescent="0.25">
      <c r="A47" s="1243" t="s">
        <v>642</v>
      </c>
      <c r="B47" s="1240" t="s">
        <v>639</v>
      </c>
      <c r="C47" s="1406"/>
      <c r="D47" s="1143" t="s">
        <v>5</v>
      </c>
      <c r="E47" s="1280" t="s">
        <v>5</v>
      </c>
    </row>
    <row r="48" spans="1:5" ht="49.5" x14ac:dyDescent="0.25">
      <c r="A48" s="1466" t="s">
        <v>690</v>
      </c>
      <c r="B48" s="1114" t="s">
        <v>518</v>
      </c>
      <c r="C48" s="1407"/>
      <c r="D48" s="1144" t="s">
        <v>5</v>
      </c>
      <c r="E48" s="1281" t="s">
        <v>5</v>
      </c>
    </row>
    <row r="49" spans="1:5" ht="49.5" x14ac:dyDescent="0.25">
      <c r="A49" s="1226" t="s">
        <v>635</v>
      </c>
      <c r="B49" s="1473" t="s">
        <v>692</v>
      </c>
      <c r="C49" s="1408"/>
      <c r="D49" s="1145" t="s">
        <v>5</v>
      </c>
      <c r="E49" s="1282" t="s">
        <v>5</v>
      </c>
    </row>
    <row r="50" spans="1:5" ht="49.5" x14ac:dyDescent="0.25">
      <c r="A50" s="1286" t="s">
        <v>663</v>
      </c>
      <c r="B50" s="1295" t="s">
        <v>669</v>
      </c>
      <c r="C50" s="1409"/>
      <c r="D50" s="1146" t="s">
        <v>5</v>
      </c>
      <c r="E50" s="1455" t="s">
        <v>5</v>
      </c>
    </row>
    <row r="51" spans="1:5" ht="51.75" x14ac:dyDescent="0.25">
      <c r="A51" s="1477" t="s">
        <v>506</v>
      </c>
      <c r="B51" s="1296" t="s">
        <v>515</v>
      </c>
      <c r="C51" s="1410"/>
      <c r="D51" s="1147" t="s">
        <v>5</v>
      </c>
      <c r="E51" s="1456" t="s">
        <v>5</v>
      </c>
    </row>
    <row r="52" spans="1:5" ht="49.5" x14ac:dyDescent="0.25">
      <c r="A52" s="1244" t="s">
        <v>561</v>
      </c>
      <c r="B52" s="1102" t="s">
        <v>5</v>
      </c>
      <c r="C52" s="1411"/>
      <c r="D52" s="1148" t="s">
        <v>5</v>
      </c>
      <c r="E52" s="1457" t="s">
        <v>5</v>
      </c>
    </row>
    <row r="53" spans="1:5" ht="66" x14ac:dyDescent="0.25">
      <c r="A53" s="1287" t="s">
        <v>664</v>
      </c>
      <c r="B53" s="1424" t="s">
        <v>519</v>
      </c>
      <c r="C53" s="1412"/>
      <c r="D53" s="1149" t="s">
        <v>5</v>
      </c>
      <c r="E53" s="1458" t="s">
        <v>5</v>
      </c>
    </row>
    <row r="54" spans="1:5" ht="66" x14ac:dyDescent="0.25">
      <c r="A54" s="1467" t="s">
        <v>691</v>
      </c>
      <c r="B54" s="1425" t="s">
        <v>680</v>
      </c>
      <c r="C54" s="1413"/>
      <c r="D54" s="1150" t="s">
        <v>5</v>
      </c>
      <c r="E54" s="1459" t="s">
        <v>5</v>
      </c>
    </row>
    <row r="55" spans="1:5" ht="66" x14ac:dyDescent="0.25">
      <c r="A55" s="1227" t="s">
        <v>636</v>
      </c>
      <c r="B55" s="1241" t="s">
        <v>640</v>
      </c>
      <c r="C55" s="1414"/>
      <c r="D55" s="1151" t="s">
        <v>5</v>
      </c>
      <c r="E55" s="1336" t="s">
        <v>5</v>
      </c>
    </row>
    <row r="56" spans="1:5" ht="82.5" x14ac:dyDescent="0.25">
      <c r="A56" s="1205" t="s">
        <v>619</v>
      </c>
      <c r="B56" s="1297" t="s">
        <v>670</v>
      </c>
      <c r="C56" s="1415"/>
      <c r="D56" s="1152" t="s">
        <v>5</v>
      </c>
      <c r="E56" s="1337" t="s">
        <v>5</v>
      </c>
    </row>
    <row r="57" spans="1:5" ht="66" x14ac:dyDescent="0.25">
      <c r="A57" s="1209" t="s">
        <v>623</v>
      </c>
      <c r="B57" s="1298" t="s">
        <v>671</v>
      </c>
      <c r="C57" s="1416"/>
      <c r="D57" s="1153" t="s">
        <v>5</v>
      </c>
      <c r="E57" s="1338" t="s">
        <v>5</v>
      </c>
    </row>
    <row r="58" spans="1:5" ht="51.75" x14ac:dyDescent="0.25">
      <c r="A58" s="1468" t="s">
        <v>528</v>
      </c>
      <c r="B58" s="1115" t="s">
        <v>606</v>
      </c>
      <c r="C58" s="1417"/>
      <c r="D58" s="1154" t="s">
        <v>5</v>
      </c>
      <c r="E58" s="1339" t="s">
        <v>5</v>
      </c>
    </row>
    <row r="59" spans="1:5" ht="49.5" x14ac:dyDescent="0.25">
      <c r="A59" s="1122" t="s">
        <v>538</v>
      </c>
      <c r="B59" s="1102" t="s">
        <v>5</v>
      </c>
      <c r="C59" s="1418"/>
      <c r="D59" s="1155" t="s">
        <v>5</v>
      </c>
      <c r="E59" s="1340" t="s">
        <v>5</v>
      </c>
    </row>
    <row r="60" spans="1:5" ht="66" x14ac:dyDescent="0.25">
      <c r="A60" s="1123" t="s">
        <v>507</v>
      </c>
      <c r="B60" s="1242" t="s">
        <v>641</v>
      </c>
      <c r="C60" s="1430"/>
      <c r="D60" s="1156" t="s">
        <v>5</v>
      </c>
      <c r="E60" s="1341" t="s">
        <v>5</v>
      </c>
    </row>
    <row r="61" spans="1:5" ht="66" x14ac:dyDescent="0.25">
      <c r="A61" s="1478" t="s">
        <v>695</v>
      </c>
      <c r="B61" s="1426" t="s">
        <v>554</v>
      </c>
      <c r="C61" s="1431"/>
      <c r="D61" s="1157" t="s">
        <v>5</v>
      </c>
      <c r="E61" s="1342" t="s">
        <v>5</v>
      </c>
    </row>
    <row r="62" spans="1:5" ht="33" x14ac:dyDescent="0.25">
      <c r="A62" s="1288" t="s">
        <v>665</v>
      </c>
      <c r="B62" s="1474" t="s">
        <v>555</v>
      </c>
      <c r="C62" s="1432"/>
      <c r="D62" s="1158" t="s">
        <v>5</v>
      </c>
      <c r="E62" s="1343" t="s">
        <v>5</v>
      </c>
    </row>
    <row r="63" spans="1:5" ht="49.5" x14ac:dyDescent="0.25">
      <c r="A63" s="1210" t="s">
        <v>543</v>
      </c>
      <c r="B63" s="1427" t="s">
        <v>681</v>
      </c>
      <c r="C63" s="1433"/>
      <c r="D63" s="1159" t="s">
        <v>5</v>
      </c>
      <c r="E63" s="1344" t="s">
        <v>5</v>
      </c>
    </row>
    <row r="64" spans="1:5" ht="33" x14ac:dyDescent="0.25">
      <c r="A64" s="1479" t="s">
        <v>529</v>
      </c>
      <c r="B64" s="1299" t="s">
        <v>672</v>
      </c>
      <c r="C64" s="1434"/>
      <c r="D64" s="1160" t="s">
        <v>5</v>
      </c>
      <c r="E64" s="1345" t="s">
        <v>5</v>
      </c>
    </row>
    <row r="65" spans="1:5" ht="33" x14ac:dyDescent="0.25">
      <c r="A65" s="1480" t="s">
        <v>509</v>
      </c>
      <c r="B65" s="1285" t="s">
        <v>662</v>
      </c>
      <c r="C65" s="1435"/>
      <c r="D65" s="1161" t="s">
        <v>5</v>
      </c>
      <c r="E65" s="1346" t="s">
        <v>5</v>
      </c>
    </row>
    <row r="66" spans="1:5" ht="49.5" x14ac:dyDescent="0.25">
      <c r="A66" s="1104" t="s">
        <v>534</v>
      </c>
      <c r="B66" s="1116" t="s">
        <v>607</v>
      </c>
      <c r="C66" s="1436"/>
      <c r="D66" s="1162" t="s">
        <v>5</v>
      </c>
      <c r="E66" s="1347" t="s">
        <v>5</v>
      </c>
    </row>
    <row r="67" spans="1:5" ht="49.5" x14ac:dyDescent="0.25">
      <c r="A67" s="1105" t="s">
        <v>603</v>
      </c>
      <c r="B67" s="1428" t="s">
        <v>682</v>
      </c>
      <c r="C67" s="1437"/>
      <c r="D67" s="1163" t="s">
        <v>5</v>
      </c>
      <c r="E67" s="1348" t="s">
        <v>5</v>
      </c>
    </row>
    <row r="68" spans="1:5" ht="33" x14ac:dyDescent="0.25">
      <c r="A68" s="1245" t="s">
        <v>545</v>
      </c>
      <c r="B68" s="1219" t="s">
        <v>628</v>
      </c>
      <c r="C68" s="1438"/>
      <c r="D68" s="1164" t="s">
        <v>5</v>
      </c>
      <c r="E68" s="1349" t="s">
        <v>5</v>
      </c>
    </row>
    <row r="69" spans="1:5" ht="49.5" x14ac:dyDescent="0.25">
      <c r="A69" s="1289" t="s">
        <v>666</v>
      </c>
      <c r="B69" s="1300" t="s">
        <v>673</v>
      </c>
      <c r="C69" s="1439"/>
      <c r="D69" s="1165" t="s">
        <v>5</v>
      </c>
      <c r="E69" s="1350" t="s">
        <v>5</v>
      </c>
    </row>
    <row r="70" spans="1:5" ht="49.5" x14ac:dyDescent="0.25">
      <c r="A70" s="1228" t="s">
        <v>535</v>
      </c>
      <c r="B70" s="1475" t="s">
        <v>693</v>
      </c>
      <c r="C70" s="1440"/>
      <c r="D70" s="1166" t="s">
        <v>5</v>
      </c>
      <c r="E70" s="1351" t="s">
        <v>5</v>
      </c>
    </row>
    <row r="71" spans="1:5" ht="51.75" x14ac:dyDescent="0.25">
      <c r="A71" s="1106" t="s">
        <v>550</v>
      </c>
      <c r="B71" s="1117" t="s">
        <v>444</v>
      </c>
      <c r="C71" s="1441"/>
      <c r="D71" s="1167" t="s">
        <v>5</v>
      </c>
      <c r="E71" s="1352" t="s">
        <v>5</v>
      </c>
    </row>
    <row r="72" spans="1:5" ht="49.5" x14ac:dyDescent="0.25">
      <c r="A72" s="1129" t="s">
        <v>530</v>
      </c>
      <c r="B72" s="1118" t="s">
        <v>608</v>
      </c>
      <c r="C72" s="1442"/>
      <c r="D72" s="1168" t="s">
        <v>5</v>
      </c>
      <c r="E72" s="1353" t="s">
        <v>5</v>
      </c>
    </row>
    <row r="73" spans="1:5" ht="49.5" x14ac:dyDescent="0.25">
      <c r="A73" s="1130" t="s">
        <v>531</v>
      </c>
      <c r="B73" s="1119" t="s">
        <v>609</v>
      </c>
      <c r="C73" s="1443"/>
      <c r="D73" s="1169" t="s">
        <v>5</v>
      </c>
      <c r="E73" s="1354" t="s">
        <v>5</v>
      </c>
    </row>
    <row r="74" spans="1:5" ht="33" x14ac:dyDescent="0.25">
      <c r="A74" s="1124" t="s">
        <v>612</v>
      </c>
      <c r="B74" s="1429" t="s">
        <v>683</v>
      </c>
      <c r="C74" s="1444"/>
      <c r="D74" s="1170" t="s">
        <v>5</v>
      </c>
      <c r="E74" s="1355" t="s">
        <v>5</v>
      </c>
    </row>
    <row r="75" spans="1:5" ht="33" x14ac:dyDescent="0.25">
      <c r="A75" s="1211" t="s">
        <v>624</v>
      </c>
      <c r="B75" s="1476" t="s">
        <v>694</v>
      </c>
      <c r="C75" s="1445"/>
      <c r="D75" s="1171" t="s">
        <v>5</v>
      </c>
      <c r="E75" s="1356" t="s">
        <v>5</v>
      </c>
    </row>
    <row r="76" spans="1:5" ht="33" x14ac:dyDescent="0.25">
      <c r="A76" s="1419" t="s">
        <v>678</v>
      </c>
      <c r="B76" s="1246" t="s">
        <v>643</v>
      </c>
      <c r="C76" s="1447"/>
      <c r="D76" s="1173" t="s">
        <v>5</v>
      </c>
      <c r="E76" s="1358" t="s">
        <v>5</v>
      </c>
    </row>
    <row r="77" spans="1:5" ht="49.5" x14ac:dyDescent="0.25">
      <c r="A77" s="1125" t="s">
        <v>613</v>
      </c>
      <c r="B77" s="1121" t="s">
        <v>611</v>
      </c>
      <c r="C77" s="1448"/>
      <c r="D77" s="1174" t="s">
        <v>5</v>
      </c>
      <c r="E77" s="1359" t="s">
        <v>5</v>
      </c>
    </row>
    <row r="78" spans="1:5" ht="33" x14ac:dyDescent="0.25">
      <c r="A78" s="1469" t="s">
        <v>612</v>
      </c>
      <c r="B78" s="1120" t="s">
        <v>610</v>
      </c>
      <c r="C78" s="1446"/>
      <c r="D78" s="1172" t="s">
        <v>5</v>
      </c>
      <c r="E78" s="1357" t="s">
        <v>5</v>
      </c>
    </row>
    <row r="79" spans="1:5" ht="33" x14ac:dyDescent="0.25">
      <c r="A79" s="1266" t="s">
        <v>624</v>
      </c>
      <c r="B79" s="1138" t="s">
        <v>618</v>
      </c>
      <c r="C79" s="1327"/>
      <c r="D79" s="1203" t="s">
        <v>5</v>
      </c>
      <c r="E79" s="1389" t="s">
        <v>5</v>
      </c>
    </row>
    <row r="80" spans="1:5" ht="49.5" x14ac:dyDescent="0.25">
      <c r="A80" s="1391" t="s">
        <v>676</v>
      </c>
      <c r="B80" s="1392" t="s">
        <v>677</v>
      </c>
      <c r="C80" s="1328"/>
      <c r="D80" s="1204" t="s">
        <v>5</v>
      </c>
      <c r="E80" s="1390" t="s">
        <v>5</v>
      </c>
    </row>
  </sheetData>
  <mergeCells count="3">
    <mergeCell ref="A1:E1"/>
    <mergeCell ref="A2:E2"/>
    <mergeCell ref="A3:E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80"/>
  <sheetViews>
    <sheetView workbookViewId="0"/>
  </sheetViews>
  <sheetFormatPr defaultRowHeight="15" x14ac:dyDescent="0.25"/>
  <cols>
    <col min="1" max="1" width="1" style="1481" bestFit="1" customWidth="1"/>
    <col min="2" max="5" width="1" bestFit="1" customWidth="1"/>
  </cols>
  <sheetData>
    <row r="5" spans="1:5" x14ac:dyDescent="0.25">
      <c r="A5" t="str">
        <f>CONCATENATE(614286,",",ROW(BCLCTTRGT_06613!A5),"|",COLUMN(BCLCTTRGT_06613!A5),",0",",0")</f>
        <v>614286,5|1,0,0</v>
      </c>
      <c r="B5" t="str">
        <f>CONCATENATE(614488,",",ROW(BCLCTTRGT_06613!B5),"|",COLUMN(BCLCTTRGT_06613!B5),",0",",0")</f>
        <v>614488,5|2,0,0</v>
      </c>
      <c r="C5" t="str">
        <f>CONCATENATE(614287,",",ROW(BCLCTTRGT_06613!C5),"|",COLUMN(BCLCTTRGT_06613!C5),",0",",0")</f>
        <v>614287,5|3,0,0</v>
      </c>
      <c r="D5" t="str">
        <f>CONCATENATE(614288,",",ROW(BCLCTTRGT_06613!D5),"|",COLUMN(BCLCTTRGT_06613!D5),",0",",0")</f>
        <v>614288,5|4,0,0</v>
      </c>
      <c r="E5" t="str">
        <f>CONCATENATE(614576,",",ROW(BCLCTTRGT_06613!E5),"|",COLUMN(BCLCTTRGT_06613!E5),",0",",0")</f>
        <v>614576,5|5,0,0</v>
      </c>
    </row>
    <row r="6" spans="1:5" x14ac:dyDescent="0.25">
      <c r="A6" t="str">
        <f>CONCATENATE(614577,",",ROW(BCLCTTRGT_06613!A6),"|",COLUMN(BCLCTTRGT_06613!A6),",0",",0")</f>
        <v>614577,6|1,0,0</v>
      </c>
      <c r="B6" t="s">
        <v>5</v>
      </c>
      <c r="C6" t="str">
        <f>CONCATENATE(614311,",",ROW(BCLCTTRGT_06613!C6),"|",COLUMN(BCLCTTRGT_06613!C6),",0",",0")</f>
        <v>614311,6|3,0,0</v>
      </c>
      <c r="D6" t="str">
        <f>CONCATENATE(614564,",",ROW(BCLCTTRGT_06613!D6),"|",COLUMN(BCLCTTRGT_06613!D6),",0",",0")</f>
        <v>614564,6|4,0,0</v>
      </c>
      <c r="E6" t="str">
        <f>CONCATENATE(614373,",",ROW(BCLCTTRGT_06613!E6),"|",COLUMN(BCLCTTRGT_06613!E6),",0",",0")</f>
        <v>614373,6|5,0,0</v>
      </c>
    </row>
    <row r="7" spans="1:5" x14ac:dyDescent="0.25">
      <c r="A7" t="str">
        <f>CONCATENATE(614289,",",ROW(BCLCTTRGT_06613!A7),"|",COLUMN(BCLCTTRGT_06613!A7),",0",",0")</f>
        <v>614289,7|1,0,0</v>
      </c>
      <c r="B7" t="str">
        <f>CONCATENATE(614574,",",ROW(BCLCTTRGT_06613!B7),"|",COLUMN(BCLCTTRGT_06613!B7),",0",",0")</f>
        <v>614574,7|2,0,0</v>
      </c>
      <c r="C7" t="str">
        <f>CONCATENATE(614436,",",ROW(BCLCTTRGT_06613!C7),"|",COLUMN(BCLCTTRGT_06613!C7),",0",",0")</f>
        <v>614436,7|3,0,0</v>
      </c>
      <c r="D7" t="str">
        <f>CONCATENATE(614539,",",ROW(BCLCTTRGT_06613!D7),"|",COLUMN(BCLCTTRGT_06613!D7),",0",",0")</f>
        <v>614539,7|4,0,0</v>
      </c>
      <c r="E7" t="str">
        <f>CONCATENATE(614347,",",ROW(BCLCTTRGT_06613!E7),"|",COLUMN(BCLCTTRGT_06613!E7),",0",",0")</f>
        <v>614347,7|5,0,0</v>
      </c>
    </row>
    <row r="8" spans="1:5" x14ac:dyDescent="0.25">
      <c r="A8" t="str">
        <f>CONCATENATE(614578,",",ROW(BCLCTTRGT_06613!A8),"|",COLUMN(BCLCTTRGT_06613!A8),",0",",0")</f>
        <v>614578,8|1,0,0</v>
      </c>
      <c r="B8" t="str">
        <f>CONCATENATE(614275,",",ROW(BCLCTTRGT_06613!B8),"|",COLUMN(BCLCTTRGT_06613!B8),",0",",0")</f>
        <v>614275,8|2,0,0</v>
      </c>
      <c r="C8" t="str">
        <f>CONCATENATE(614437,",",ROW(BCLCTTRGT_06613!C8),"|",COLUMN(BCLCTTRGT_06613!C8),",0",",0")</f>
        <v>614437,8|3,0,0</v>
      </c>
      <c r="D8" t="str">
        <f>CONCATENATE(614540,",",ROW(BCLCTTRGT_06613!D8),"|",COLUMN(BCLCTTRGT_06613!D8),",0",",0")</f>
        <v>614540,8|4,0,0</v>
      </c>
      <c r="E8" t="str">
        <f>CONCATENATE(614348,",",ROW(BCLCTTRGT_06613!E8),"|",COLUMN(BCLCTTRGT_06613!E8),",0",",0")</f>
        <v>614348,8|5,0,0</v>
      </c>
    </row>
    <row r="9" spans="1:5" x14ac:dyDescent="0.25">
      <c r="A9" t="str">
        <f>CONCATENATE(614445,",",ROW(BCLCTTRGT_06613!A9),"|",COLUMN(BCLCTTRGT_06613!A9),",0",",0")</f>
        <v>614445,9|1,0,0</v>
      </c>
      <c r="B9" t="str">
        <f>CONCATENATE(614575,",",ROW(BCLCTTRGT_06613!B9),"|",COLUMN(BCLCTTRGT_06613!B9),",0",",0")</f>
        <v>614575,9|2,0,0</v>
      </c>
      <c r="C9" t="str">
        <f>CONCATENATE(614438,",",ROW(BCLCTTRGT_06613!C9),"|",COLUMN(BCLCTTRGT_06613!C9),",0",",0")</f>
        <v>614438,9|3,0,0</v>
      </c>
      <c r="D9" t="str">
        <f>CONCATENATE(614541,",",ROW(BCLCTTRGT_06613!D9),"|",COLUMN(BCLCTTRGT_06613!D9),",0",",0")</f>
        <v>614541,9|4,0,0</v>
      </c>
      <c r="E9" t="str">
        <f>CONCATENATE(614349,",",ROW(BCLCTTRGT_06613!E9),"|",COLUMN(BCLCTTRGT_06613!E9),",0",",0")</f>
        <v>614349,9|5,0,0</v>
      </c>
    </row>
    <row r="10" spans="1:5" x14ac:dyDescent="0.25">
      <c r="A10" t="str">
        <f>CONCATENATE(614613,",",ROW(BCLCTTRGT_06613!A10),"|",COLUMN(BCLCTTRGT_06613!A10),",0",",0")</f>
        <v>614613,10|1,0,0</v>
      </c>
      <c r="B10" t="str">
        <f>CONCATENATE(614591,",",ROW(BCLCTTRGT_06613!B10),"|",COLUMN(BCLCTTRGT_06613!B10),",0",",0")</f>
        <v>614591,10|2,0,0</v>
      </c>
      <c r="C10" t="str">
        <f>CONCATENATE(614439,",",ROW(BCLCTTRGT_06613!C10),"|",COLUMN(BCLCTTRGT_06613!C10),",0",",0")</f>
        <v>614439,10|3,0,0</v>
      </c>
      <c r="D10" t="str">
        <f>CONCATENATE(614542,",",ROW(BCLCTTRGT_06613!D10),"|",COLUMN(BCLCTTRGT_06613!D10),",0",",0")</f>
        <v>614542,10|4,0,0</v>
      </c>
      <c r="E10" t="str">
        <f>CONCATENATE(614350,",",ROW(BCLCTTRGT_06613!E10),"|",COLUMN(BCLCTTRGT_06613!E10),",0",",0")</f>
        <v>614350,10|5,0,0</v>
      </c>
    </row>
    <row r="11" spans="1:5" x14ac:dyDescent="0.25">
      <c r="A11" t="str">
        <f>CONCATENATE(614446,",",ROW(BCLCTTRGT_06613!A11),"|",COLUMN(BCLCTTRGT_06613!A11),",0",",0")</f>
        <v>614446,11|1,0,0</v>
      </c>
      <c r="B11" t="str">
        <f>CONCATENATE(614592,",",ROW(BCLCTTRGT_06613!B11),"|",COLUMN(BCLCTTRGT_06613!B11),",0",",0")</f>
        <v>614592,11|2,0,0</v>
      </c>
      <c r="C11" t="str">
        <f>CONCATENATE(614497,",",ROW(BCLCTTRGT_06613!C11),"|",COLUMN(BCLCTTRGT_06613!C11),",0",",0")</f>
        <v>614497,11|3,0,0</v>
      </c>
      <c r="D11" t="str">
        <f>CONCATENATE(614543,",",ROW(BCLCTTRGT_06613!D11),"|",COLUMN(BCLCTTRGT_06613!D11),",0",",0")</f>
        <v>614543,11|4,0,0</v>
      </c>
      <c r="E11" t="str">
        <f>CONCATENATE(614351,",",ROW(BCLCTTRGT_06613!E11),"|",COLUMN(BCLCTTRGT_06613!E11),",0",",0")</f>
        <v>614351,11|5,0,0</v>
      </c>
    </row>
    <row r="12" spans="1:5" x14ac:dyDescent="0.25">
      <c r="A12" t="str">
        <f>CONCATENATE(614290,",",ROW(BCLCTTRGT_06613!A12),"|",COLUMN(BCLCTTRGT_06613!A12),",0",",0")</f>
        <v>614290,12|1,0,0</v>
      </c>
      <c r="B12" t="str">
        <f>CONCATENATE(614612,",",ROW(BCLCTTRGT_06613!B12),"|",COLUMN(BCLCTTRGT_06613!B12),",0",",0")</f>
        <v>614612,12|2,0,0</v>
      </c>
      <c r="C12" t="str">
        <f>CONCATENATE(614291,",",ROW(BCLCTTRGT_06613!C12),"|",COLUMN(BCLCTTRGT_06613!C12),",0",",0")</f>
        <v>614291,12|3,0,0</v>
      </c>
      <c r="D12" t="str">
        <f>CONCATENATE(614544,",",ROW(BCLCTTRGT_06613!D12),"|",COLUMN(BCLCTTRGT_06613!D12),",0",",0")</f>
        <v>614544,12|4,0,0</v>
      </c>
      <c r="E12" t="str">
        <f>CONCATENATE(614352,",",ROW(BCLCTTRGT_06613!E12),"|",COLUMN(BCLCTTRGT_06613!E12),",0",",0")</f>
        <v>614352,12|5,0,0</v>
      </c>
    </row>
    <row r="13" spans="1:5" x14ac:dyDescent="0.25">
      <c r="A13" t="str">
        <f>CONCATENATE(614489,",",ROW(BCLCTTRGT_06613!A13),"|",COLUMN(BCLCTTRGT_06613!A13),",0",",0")</f>
        <v>614489,13|1,0,0</v>
      </c>
      <c r="B13" t="str">
        <f>CONCATENATE(614593,",",ROW(BCLCTTRGT_06613!B13),"|",COLUMN(BCLCTTRGT_06613!B13),",0",",0")</f>
        <v>614593,13|2,0,0</v>
      </c>
      <c r="C13" t="str">
        <f>CONCATENATE(614292,",",ROW(BCLCTTRGT_06613!C13),"|",COLUMN(BCLCTTRGT_06613!C13),",0",",0")</f>
        <v>614292,13|3,0,0</v>
      </c>
      <c r="D13" t="str">
        <f>CONCATENATE(614545,",",ROW(BCLCTTRGT_06613!D13),"|",COLUMN(BCLCTTRGT_06613!D13),",0",",0")</f>
        <v>614545,13|4,0,0</v>
      </c>
      <c r="E13" t="str">
        <f>CONCATENATE(614353,",",ROW(BCLCTTRGT_06613!E13),"|",COLUMN(BCLCTTRGT_06613!E13),",0",",0")</f>
        <v>614353,13|5,0,0</v>
      </c>
    </row>
    <row r="14" spans="1:5" x14ac:dyDescent="0.25">
      <c r="A14" t="str">
        <f>CONCATENATE(614614,",",ROW(BCLCTTRGT_06613!A14),"|",COLUMN(BCLCTTRGT_06613!A14),",0",",0")</f>
        <v>614614,14|1,0,0</v>
      </c>
      <c r="B14" t="str">
        <f>CONCATENATE(614276,",",ROW(BCLCTTRGT_06613!B14),"|",COLUMN(BCLCTTRGT_06613!B14),",0",",0")</f>
        <v>614276,14|2,0,0</v>
      </c>
      <c r="C14" t="str">
        <f>CONCATENATE(614293,",",ROW(BCLCTTRGT_06613!C14),"|",COLUMN(BCLCTTRGT_06613!C14),",0",",0")</f>
        <v>614293,14|3,0,0</v>
      </c>
      <c r="D14" t="str">
        <f>CONCATENATE(614546,",",ROW(BCLCTTRGT_06613!D14),"|",COLUMN(BCLCTTRGT_06613!D14),",0",",0")</f>
        <v>614546,14|4,0,0</v>
      </c>
      <c r="E14" t="str">
        <f>CONCATENATE(614354,",",ROW(BCLCTTRGT_06613!E14),"|",COLUMN(BCLCTTRGT_06613!E14),",0",",0")</f>
        <v>614354,14|5,0,0</v>
      </c>
    </row>
    <row r="15" spans="1:5" x14ac:dyDescent="0.25">
      <c r="A15" t="str">
        <f>CONCATENATE(614620,",",ROW(BCLCTTRGT_06613!A15),"|",COLUMN(BCLCTTRGT_06613!A15),",0",",0")</f>
        <v>614620,15|1,0,0</v>
      </c>
      <c r="B15" t="str">
        <f>CONCATENATE(614493,",",ROW(BCLCTTRGT_06613!B15),"|",COLUMN(BCLCTTRGT_06613!B15),",0",",0")</f>
        <v>614493,15|2,0,0</v>
      </c>
      <c r="C15" t="str">
        <f>CONCATENATE(614294,",",ROW(BCLCTTRGT_06613!C15),"|",COLUMN(BCLCTTRGT_06613!C15),",0",",0")</f>
        <v>614294,15|3,0,0</v>
      </c>
      <c r="D15" t="str">
        <f>CONCATENATE(614547,",",ROW(BCLCTTRGT_06613!D15),"|",COLUMN(BCLCTTRGT_06613!D15),",0",",0")</f>
        <v>614547,15|4,0,0</v>
      </c>
      <c r="E15" t="str">
        <f>CONCATENATE(614355,",",ROW(BCLCTTRGT_06613!E15),"|",COLUMN(BCLCTTRGT_06613!E15),",0",",0")</f>
        <v>614355,15|5,0,0</v>
      </c>
    </row>
    <row r="16" spans="1:5" x14ac:dyDescent="0.25">
      <c r="A16" t="str">
        <f>CONCATENATE(614579,",",ROW(BCLCTTRGT_06613!A16),"|",COLUMN(BCLCTTRGT_06613!A16),",0",",0")</f>
        <v>614579,16|1,0,0</v>
      </c>
      <c r="B16" t="str">
        <f>CONCATENATE(614277,",",ROW(BCLCTTRGT_06613!B16),"|",COLUMN(BCLCTTRGT_06613!B16),",0",",0")</f>
        <v>614277,16|2,0,0</v>
      </c>
      <c r="C16" t="str">
        <f>CONCATENATE(614295,",",ROW(BCLCTTRGT_06613!C16),"|",COLUMN(BCLCTTRGT_06613!C16),",0",",0")</f>
        <v>614295,16|3,0,0</v>
      </c>
      <c r="D16" t="str">
        <f>CONCATENATE(614548,",",ROW(BCLCTTRGT_06613!D16),"|",COLUMN(BCLCTTRGT_06613!D16),",0",",0")</f>
        <v>614548,16|4,0,0</v>
      </c>
      <c r="E16" t="str">
        <f>CONCATENATE(614356,",",ROW(BCLCTTRGT_06613!E16),"|",COLUMN(BCLCTTRGT_06613!E16),",0",",0")</f>
        <v>614356,16|5,0,0</v>
      </c>
    </row>
    <row r="17" spans="1:5" x14ac:dyDescent="0.25">
      <c r="A17" t="str">
        <f>CONCATENATE(614580,",",ROW(BCLCTTRGT_06613!A17),"|",COLUMN(BCLCTTRGT_06613!A17),",0",",0")</f>
        <v>614580,17|1,0,0</v>
      </c>
      <c r="B17" t="str">
        <f>CONCATENATE(614405,",",ROW(BCLCTTRGT_06613!B17),"|",COLUMN(BCLCTTRGT_06613!B17),",0",",0")</f>
        <v>614405,17|2,0,0</v>
      </c>
      <c r="C17" t="str">
        <f>CONCATENATE(614296,",",ROW(BCLCTTRGT_06613!C17),"|",COLUMN(BCLCTTRGT_06613!C17),",0",",0")</f>
        <v>614296,17|3,0,0</v>
      </c>
      <c r="D17" t="str">
        <f>CONCATENATE(614549,",",ROW(BCLCTTRGT_06613!D17),"|",COLUMN(BCLCTTRGT_06613!D17),",0",",0")</f>
        <v>614549,17|4,0,0</v>
      </c>
      <c r="E17" t="str">
        <f>CONCATENATE(614358,",",ROW(BCLCTTRGT_06613!E17),"|",COLUMN(BCLCTTRGT_06613!E17),",0",",0")</f>
        <v>614358,17|5,0,0</v>
      </c>
    </row>
    <row r="18" spans="1:5" x14ac:dyDescent="0.25">
      <c r="A18" t="str">
        <f>CONCATENATE(614621,",",ROW(BCLCTTRGT_06613!A18),"|",COLUMN(BCLCTTRGT_06613!A18),",0",",0")</f>
        <v>614621,18|1,0,0</v>
      </c>
      <c r="B18" t="str">
        <f>CONCATENATE(614470,",",ROW(BCLCTTRGT_06613!B18),"|",COLUMN(BCLCTTRGT_06613!B18),",0",",0")</f>
        <v>614470,18|2,0,0</v>
      </c>
      <c r="C18" t="str">
        <f>CONCATENATE(614297,",",ROW(BCLCTTRGT_06613!C18),"|",COLUMN(BCLCTTRGT_06613!C18),",0",",0")</f>
        <v>614297,18|3,0,0</v>
      </c>
      <c r="D18" t="str">
        <f>CONCATENATE(614550,",",ROW(BCLCTTRGT_06613!D18),"|",COLUMN(BCLCTTRGT_06613!D18),",0",",0")</f>
        <v>614550,18|4,0,0</v>
      </c>
      <c r="E18" t="str">
        <f>CONCATENATE(614359,",",ROW(BCLCTTRGT_06613!E18),"|",COLUMN(BCLCTTRGT_06613!E18),",0",",0")</f>
        <v>614359,18|5,0,0</v>
      </c>
    </row>
    <row r="19" spans="1:5" x14ac:dyDescent="0.25">
      <c r="A19" t="str">
        <f>CONCATENATE(614615,",",ROW(BCLCTTRGT_06613!A19),"|",COLUMN(BCLCTTRGT_06613!A19),",0",",0")</f>
        <v>614615,19|1,0,0</v>
      </c>
      <c r="B19" t="str">
        <f>CONCATENATE(614469,",",ROW(BCLCTTRGT_06613!B19),"|",COLUMN(BCLCTTRGT_06613!B19),",0",",0")</f>
        <v>614469,19|2,0,0</v>
      </c>
      <c r="C19" t="str">
        <f>CONCATENATE(614298,",",ROW(BCLCTTRGT_06613!C19),"|",COLUMN(BCLCTTRGT_06613!C19),",0",",0")</f>
        <v>614298,19|3,0,0</v>
      </c>
      <c r="D19" t="str">
        <f>CONCATENATE(614551,",",ROW(BCLCTTRGT_06613!D19),"|",COLUMN(BCLCTTRGT_06613!D19),",0",",0")</f>
        <v>614551,19|4,0,0</v>
      </c>
      <c r="E19" t="str">
        <f>CONCATENATE(614360,",",ROW(BCLCTTRGT_06613!E19),"|",COLUMN(BCLCTTRGT_06613!E19),",0",",0")</f>
        <v>614360,19|5,0,0</v>
      </c>
    </row>
    <row r="20" spans="1:5" x14ac:dyDescent="0.25">
      <c r="A20" t="str">
        <f>CONCATENATE(614616,",",ROW(BCLCTTRGT_06613!A20),"|",COLUMN(BCLCTTRGT_06613!A20),",0",",0")</f>
        <v>614616,20|1,0,0</v>
      </c>
      <c r="B20" t="str">
        <f>CONCATENATE(614494,",",ROW(BCLCTTRGT_06613!B20),"|",COLUMN(BCLCTTRGT_06613!B20),",0",",0")</f>
        <v>614494,20|2,0,0</v>
      </c>
      <c r="C20" t="str">
        <f>CONCATENATE(614299,",",ROW(BCLCTTRGT_06613!C20),"|",COLUMN(BCLCTTRGT_06613!C20),",0",",0")</f>
        <v>614299,20|3,0,0</v>
      </c>
      <c r="D20" t="str">
        <f>CONCATENATE(614552,",",ROW(BCLCTTRGT_06613!D20),"|",COLUMN(BCLCTTRGT_06613!D20),",0",",0")</f>
        <v>614552,20|4,0,0</v>
      </c>
      <c r="E20" t="str">
        <f>CONCATENATE(614361,",",ROW(BCLCTTRGT_06613!E20),"|",COLUMN(BCLCTTRGT_06613!E20),",0",",0")</f>
        <v>614361,20|5,0,0</v>
      </c>
    </row>
    <row r="21" spans="1:5" x14ac:dyDescent="0.25">
      <c r="A21" t="str">
        <f>CONCATENATE(614617,",",ROW(BCLCTTRGT_06613!A21),"|",COLUMN(BCLCTTRGT_06613!A21),",0",",0")</f>
        <v>614617,21|1,0,0</v>
      </c>
      <c r="B21" t="str">
        <f>CONCATENATE(614406,",",ROW(BCLCTTRGT_06613!B21),"|",COLUMN(BCLCTTRGT_06613!B21),",0",",0")</f>
        <v>614406,21|2,0,0</v>
      </c>
      <c r="C21" t="str">
        <f>CONCATENATE(614300,",",ROW(BCLCTTRGT_06613!C21),"|",COLUMN(BCLCTTRGT_06613!C21),",0",",0")</f>
        <v>614300,21|3,0,0</v>
      </c>
      <c r="D21" t="str">
        <f>CONCATENATE(614553,",",ROW(BCLCTTRGT_06613!D21),"|",COLUMN(BCLCTTRGT_06613!D21),",0",",0")</f>
        <v>614553,21|4,0,0</v>
      </c>
      <c r="E21" t="str">
        <f>CONCATENATE(614362,",",ROW(BCLCTTRGT_06613!E21),"|",COLUMN(BCLCTTRGT_06613!E21),",0",",0")</f>
        <v>614362,21|5,0,0</v>
      </c>
    </row>
    <row r="22" spans="1:5" x14ac:dyDescent="0.25">
      <c r="A22" t="str">
        <f>CONCATENATE(614622,",",ROW(BCLCTTRGT_06613!A22),"|",COLUMN(BCLCTTRGT_06613!A22),",0",",0")</f>
        <v>614622,22|1,0,0</v>
      </c>
      <c r="B22" t="str">
        <f>CONCATENATE(614495,",",ROW(BCLCTTRGT_06613!B22),"|",COLUMN(BCLCTTRGT_06613!B22),",0",",0")</f>
        <v>614495,22|2,0,0</v>
      </c>
      <c r="C22" t="str">
        <f>CONCATENATE(614301,",",ROW(BCLCTTRGT_06613!C22),"|",COLUMN(BCLCTTRGT_06613!C22),",0",",0")</f>
        <v>614301,22|3,0,0</v>
      </c>
      <c r="D22" t="str">
        <f>CONCATENATE(614554,",",ROW(BCLCTTRGT_06613!D22),"|",COLUMN(BCLCTTRGT_06613!D22),",0",",0")</f>
        <v>614554,22|4,0,0</v>
      </c>
      <c r="E22" t="str">
        <f>CONCATENATE(614363,",",ROW(BCLCTTRGT_06613!E22),"|",COLUMN(BCLCTTRGT_06613!E22),",0",",0")</f>
        <v>614363,22|5,0,0</v>
      </c>
    </row>
    <row r="23" spans="1:5" x14ac:dyDescent="0.25">
      <c r="A23" t="str">
        <f>CONCATENATE(614618,",",ROW(BCLCTTRGT_06613!A23),"|",COLUMN(BCLCTTRGT_06613!A23),",0",",0")</f>
        <v>614618,23|1,0,0</v>
      </c>
      <c r="B23" t="str">
        <f>CONCATENATE(614594,",",ROW(BCLCTTRGT_06613!B23),"|",COLUMN(BCLCTTRGT_06613!B23),",0",",0")</f>
        <v>614594,23|2,0,0</v>
      </c>
      <c r="C23" t="str">
        <f>CONCATENATE(614302,",",ROW(BCLCTTRGT_06613!C23),"|",COLUMN(BCLCTTRGT_06613!C23),",0",",0")</f>
        <v>614302,23|3,0,0</v>
      </c>
      <c r="D23" t="str">
        <f>CONCATENATE(614555,",",ROW(BCLCTTRGT_06613!D23),"|",COLUMN(BCLCTTRGT_06613!D23),",0",",0")</f>
        <v>614555,23|4,0,0</v>
      </c>
      <c r="E23" t="str">
        <f>CONCATENATE(614364,",",ROW(BCLCTTRGT_06613!E23),"|",COLUMN(BCLCTTRGT_06613!E23),",0",",0")</f>
        <v>614364,23|5,0,0</v>
      </c>
    </row>
    <row r="24" spans="1:5" x14ac:dyDescent="0.25">
      <c r="A24" t="str">
        <f>CONCATENATE(614619,",",ROW(BCLCTTRGT_06613!A24),"|",COLUMN(BCLCTTRGT_06613!A24),",0",",0")</f>
        <v>614619,24|1,0,0</v>
      </c>
      <c r="B24" t="str">
        <f>CONCATENATE(614278,",",ROW(BCLCTTRGT_06613!B24),"|",COLUMN(BCLCTTRGT_06613!B24),",0",",0")</f>
        <v>614278,24|2,0,0</v>
      </c>
      <c r="C24" t="str">
        <f>CONCATENATE(614303,",",ROW(BCLCTTRGT_06613!C24),"|",COLUMN(BCLCTTRGT_06613!C24),",0",",0")</f>
        <v>614303,24|3,0,0</v>
      </c>
      <c r="D24" t="str">
        <f>CONCATENATE(614556,",",ROW(BCLCTTRGT_06613!D24),"|",COLUMN(BCLCTTRGT_06613!D24),",0",",0")</f>
        <v>614556,24|4,0,0</v>
      </c>
      <c r="E24" t="str">
        <f>CONCATENATE(614365,",",ROW(BCLCTTRGT_06613!E24),"|",COLUMN(BCLCTTRGT_06613!E24),",0",",0")</f>
        <v>614365,24|5,0,0</v>
      </c>
    </row>
    <row r="25" spans="1:5" x14ac:dyDescent="0.25">
      <c r="A25" t="str">
        <f>CONCATENATE(614623,",",ROW(BCLCTTRGT_06613!A25),"|",COLUMN(BCLCTTRGT_06613!A25),",0",",0")</f>
        <v>614623,25|1,0,0</v>
      </c>
      <c r="B25" t="str">
        <f>CONCATENATE(614279,",",ROW(BCLCTTRGT_06613!B25),"|",COLUMN(BCLCTTRGT_06613!B25),",0",",0")</f>
        <v>614279,25|2,0,0</v>
      </c>
      <c r="C25" t="str">
        <f>CONCATENATE(614304,",",ROW(BCLCTTRGT_06613!C25),"|",COLUMN(BCLCTTRGT_06613!C25),",0",",0")</f>
        <v>614304,25|3,0,0</v>
      </c>
      <c r="D25" t="str">
        <f>CONCATENATE(614557,",",ROW(BCLCTTRGT_06613!D25),"|",COLUMN(BCLCTTRGT_06613!D25),",0",",0")</f>
        <v>614557,25|4,0,0</v>
      </c>
      <c r="E25" t="str">
        <f>CONCATENATE(614366,",",ROW(BCLCTTRGT_06613!E25),"|",COLUMN(BCLCTTRGT_06613!E25),",0",",0")</f>
        <v>614366,25|5,0,0</v>
      </c>
    </row>
    <row r="26" spans="1:5" x14ac:dyDescent="0.25">
      <c r="A26" t="str">
        <f>CONCATENATE(614568,",",ROW(BCLCTTRGT_06613!A26),"|",COLUMN(BCLCTTRGT_06613!A26),",0",",0")</f>
        <v>614568,26|1,0,0</v>
      </c>
      <c r="B26" t="str">
        <f>CONCATENATE(614471,",",ROW(BCLCTTRGT_06613!B26),"|",COLUMN(BCLCTTRGT_06613!B26),",0",",0")</f>
        <v>614471,26|2,0,0</v>
      </c>
      <c r="C26" t="str">
        <f>CONCATENATE(614305,",",ROW(BCLCTTRGT_06613!C26),"|",COLUMN(BCLCTTRGT_06613!C26),",0",",0")</f>
        <v>614305,26|3,0,0</v>
      </c>
      <c r="D26" t="str">
        <f>CONCATENATE(614558,",",ROW(BCLCTTRGT_06613!D26),"|",COLUMN(BCLCTTRGT_06613!D26),",0",",0")</f>
        <v>614558,26|4,0,0</v>
      </c>
      <c r="E26" t="str">
        <f>CONCATENATE(614367,",",ROW(BCLCTTRGT_06613!E26),"|",COLUMN(BCLCTTRGT_06613!E26),",0",",0")</f>
        <v>614367,26|5,0,0</v>
      </c>
    </row>
    <row r="27" spans="1:5" x14ac:dyDescent="0.25">
      <c r="A27" t="str">
        <f>CONCATENATE(614569,",",ROW(BCLCTTRGT_06613!A27),"|",COLUMN(BCLCTTRGT_06613!A27),",0",",0")</f>
        <v>614569,27|1,0,0</v>
      </c>
      <c r="B27" t="str">
        <f>CONCATENATE(614455,",",ROW(BCLCTTRGT_06613!B27),"|",COLUMN(BCLCTTRGT_06613!B27),",0",",0")</f>
        <v>614455,27|2,0,0</v>
      </c>
      <c r="C27" t="str">
        <f>CONCATENATE(614434,",",ROW(BCLCTTRGT_06613!C27),"|",COLUMN(BCLCTTRGT_06613!C27),",0",",0")</f>
        <v>614434,27|3,0,0</v>
      </c>
      <c r="D27" t="str">
        <f>CONCATENATE(614537,",",ROW(BCLCTTRGT_06613!D27),"|",COLUMN(BCLCTTRGT_06613!D27),",0",",0")</f>
        <v>614537,27|4,0,0</v>
      </c>
      <c r="E27" t="str">
        <f>CONCATENATE(614345,",",ROW(BCLCTTRGT_06613!E27),"|",COLUMN(BCLCTTRGT_06613!E27),",0",",0")</f>
        <v>614345,27|5,0,0</v>
      </c>
    </row>
    <row r="28" spans="1:5" x14ac:dyDescent="0.25">
      <c r="A28" t="str">
        <f>CONCATENATE(614582,",",ROW(BCLCTTRGT_06613!A28),"|",COLUMN(BCLCTTRGT_06613!A28),",0",",0")</f>
        <v>614582,28|1,0,0</v>
      </c>
      <c r="B28" t="str">
        <f>CONCATENATE(614407,",",ROW(BCLCTTRGT_06613!B28),"|",COLUMN(BCLCTTRGT_06613!B28),",0",",0")</f>
        <v>614407,28|2,0,0</v>
      </c>
      <c r="C28" t="str">
        <f>CONCATENATE(614306,",",ROW(BCLCTTRGT_06613!C28),"|",COLUMN(BCLCTTRGT_06613!C28),",0",",0")</f>
        <v>614306,28|3,0,0</v>
      </c>
      <c r="D28" t="str">
        <f>CONCATENATE(614559,",",ROW(BCLCTTRGT_06613!D28),"|",COLUMN(BCLCTTRGT_06613!D28),",0",",0")</f>
        <v>614559,28|4,0,0</v>
      </c>
      <c r="E28" t="str">
        <f>CONCATENATE(614368,",",ROW(BCLCTTRGT_06613!E28),"|",COLUMN(BCLCTTRGT_06613!E28),",0",",0")</f>
        <v>614368,28|5,0,0</v>
      </c>
    </row>
    <row r="29" spans="1:5" x14ac:dyDescent="0.25">
      <c r="A29" t="str">
        <f>CONCATENATE(614624,",",ROW(BCLCTTRGT_06613!A29),"|",COLUMN(BCLCTTRGT_06613!A29),",0",",0")</f>
        <v>614624,29|1,0,0</v>
      </c>
      <c r="B29" t="str">
        <f>CONCATENATE(614357,",",ROW(BCLCTTRGT_06613!B29),"|",COLUMN(BCLCTTRGT_06613!B29),",0",",0")</f>
        <v>614357,29|2,0,0</v>
      </c>
      <c r="C29" t="str">
        <f>CONCATENATE(614307,",",ROW(BCLCTTRGT_06613!C29),"|",COLUMN(BCLCTTRGT_06613!C29),",0",",0")</f>
        <v>614307,29|3,0,0</v>
      </c>
      <c r="D29" t="str">
        <f>CONCATENATE(614560,",",ROW(BCLCTTRGT_06613!D29),"|",COLUMN(BCLCTTRGT_06613!D29),",0",",0")</f>
        <v>614560,29|4,0,0</v>
      </c>
      <c r="E29" t="str">
        <f>CONCATENATE(614369,",",ROW(BCLCTTRGT_06613!E29),"|",COLUMN(BCLCTTRGT_06613!E29),",0",",0")</f>
        <v>614369,29|5,0,0</v>
      </c>
    </row>
    <row r="30" spans="1:5" x14ac:dyDescent="0.25">
      <c r="A30" t="str">
        <f>CONCATENATE(614609,",",ROW(BCLCTTRGT_06613!A30),"|",COLUMN(BCLCTTRGT_06613!A30),",0",",0")</f>
        <v>614609,30|1,0,0</v>
      </c>
      <c r="B30" t="str">
        <f>CONCATENATE(614472,",",ROW(BCLCTTRGT_06613!B30),"|",COLUMN(BCLCTTRGT_06613!B30),",0",",0")</f>
        <v>614472,30|2,0,0</v>
      </c>
      <c r="C30" t="str">
        <f>CONCATENATE(614378,",",ROW(BCLCTTRGT_06613!C30),"|",COLUMN(BCLCTTRGT_06613!C30),",0",",0")</f>
        <v>614378,30|3,0,0</v>
      </c>
      <c r="D30" t="str">
        <f>CONCATENATE(614314,",",ROW(BCLCTTRGT_06613!D30),"|",COLUMN(BCLCTTRGT_06613!D30),",0",",0")</f>
        <v>614314,30|4,0,0</v>
      </c>
      <c r="E30" t="str">
        <f>CONCATENATE(614629,",",ROW(BCLCTTRGT_06613!E30),"|",COLUMN(BCLCTTRGT_06613!E30),",0",",0")</f>
        <v>614629,30|5,0,0</v>
      </c>
    </row>
    <row r="31" spans="1:5" x14ac:dyDescent="0.25">
      <c r="A31" t="str">
        <f>CONCATENATE(614610,",",ROW(BCLCTTRGT_06613!A31),"|",COLUMN(BCLCTTRGT_06613!A31),",0",",0")</f>
        <v>614610,31|1,0,0</v>
      </c>
      <c r="B31" t="str">
        <f>CONCATENATE(614595,",",ROW(BCLCTTRGT_06613!B31),"|",COLUMN(BCLCTTRGT_06613!B31),",0",",0")</f>
        <v>614595,31|2,0,0</v>
      </c>
      <c r="C31" t="str">
        <f>CONCATENATE(614379,",",ROW(BCLCTTRGT_06613!C31),"|",COLUMN(BCLCTTRGT_06613!C31),",0",",0")</f>
        <v>614379,31|3,0,0</v>
      </c>
      <c r="D31" t="str">
        <f>CONCATENATE(614315,",",ROW(BCLCTTRGT_06613!D31),"|",COLUMN(BCLCTTRGT_06613!D31),",0",",0")</f>
        <v>614315,31|4,0,0</v>
      </c>
      <c r="E31" t="str">
        <f>CONCATENATE(614630,",",ROW(BCLCTTRGT_06613!E31),"|",COLUMN(BCLCTTRGT_06613!E31),",0",",0")</f>
        <v>614630,31|5,0,0</v>
      </c>
    </row>
    <row r="32" spans="1:5" x14ac:dyDescent="0.25">
      <c r="A32" t="str">
        <f>CONCATENATE(614490,",",ROW(BCLCTTRGT_06613!A32),"|",COLUMN(BCLCTTRGT_06613!A32),",0",",0")</f>
        <v>614490,32|1,0,0</v>
      </c>
      <c r="B32" t="str">
        <f>CONCATENATE(614496,",",ROW(BCLCTTRGT_06613!B32),"|",COLUMN(BCLCTTRGT_06613!B32),",0",",0")</f>
        <v>614496,32|2,0,0</v>
      </c>
      <c r="C32" t="str">
        <f>CONCATENATE(614308,",",ROW(BCLCTTRGT_06613!C32),"|",COLUMN(BCLCTTRGT_06613!C32),",0",",0")</f>
        <v>614308,32|3,0,0</v>
      </c>
      <c r="D32" t="str">
        <f>CONCATENATE(614561,",",ROW(BCLCTTRGT_06613!D32),"|",COLUMN(BCLCTTRGT_06613!D32),",0",",0")</f>
        <v>614561,32|4,0,0</v>
      </c>
      <c r="E32" t="str">
        <f>CONCATENATE(614370,",",ROW(BCLCTTRGT_06613!E32),"|",COLUMN(BCLCTTRGT_06613!E32),",0",",0")</f>
        <v>614370,32|5,0,0</v>
      </c>
    </row>
    <row r="33" spans="1:5" x14ac:dyDescent="0.25">
      <c r="A33" t="str">
        <f>CONCATENATE(614447,",",ROW(BCLCTTRGT_06613!A33),"|",COLUMN(BCLCTTRGT_06613!A33),",0",",0")</f>
        <v>614447,33|1,0,0</v>
      </c>
      <c r="B33" t="str">
        <f>CONCATENATE(614456,",",ROW(BCLCTTRGT_06613!B33),"|",COLUMN(BCLCTTRGT_06613!B33),",0",",0")</f>
        <v>614456,33|2,0,0</v>
      </c>
      <c r="C33" t="str">
        <f>CONCATENATE(614435,",",ROW(BCLCTTRGT_06613!C33),"|",COLUMN(BCLCTTRGT_06613!C33),",0",",0")</f>
        <v>614435,33|3,0,0</v>
      </c>
      <c r="D33" t="str">
        <f>CONCATENATE(614538,",",ROW(BCLCTTRGT_06613!D33),"|",COLUMN(BCLCTTRGT_06613!D33),",0",",0")</f>
        <v>614538,33|4,0,0</v>
      </c>
      <c r="E33" t="str">
        <f>CONCATENATE(614346,",",ROW(BCLCTTRGT_06613!E33),"|",COLUMN(BCLCTTRGT_06613!E33),",0",",0")</f>
        <v>614346,33|5,0,0</v>
      </c>
    </row>
    <row r="34" spans="1:5" x14ac:dyDescent="0.25">
      <c r="A34" t="str">
        <f>CONCATENATE(614583,",",ROW(BCLCTTRGT_06613!A34),"|",COLUMN(BCLCTTRGT_06613!A34),",0",",0")</f>
        <v>614583,34|1,0,0</v>
      </c>
      <c r="B34" t="str">
        <f>CONCATENATE(614596,",",ROW(BCLCTTRGT_06613!B34),"|",COLUMN(BCLCTTRGT_06613!B34),",0",",0")</f>
        <v>614596,34|2,0,0</v>
      </c>
      <c r="C34" t="str">
        <f>CONCATENATE(614309,",",ROW(BCLCTTRGT_06613!C34),"|",COLUMN(BCLCTTRGT_06613!C34),",0",",0")</f>
        <v>614309,34|3,0,0</v>
      </c>
      <c r="D34" t="str">
        <f>CONCATENATE(614562,",",ROW(BCLCTTRGT_06613!D34),"|",COLUMN(BCLCTTRGT_06613!D34),",0",",0")</f>
        <v>614562,34|4,0,0</v>
      </c>
      <c r="E34" t="str">
        <f>CONCATENATE(614371,",",ROW(BCLCTTRGT_06613!E34),"|",COLUMN(BCLCTTRGT_06613!E34),",0",",0")</f>
        <v>614371,34|5,0,0</v>
      </c>
    </row>
    <row r="35" spans="1:5" x14ac:dyDescent="0.25">
      <c r="A35" t="str">
        <f>CONCATENATE(614584,",",ROW(BCLCTTRGT_06613!A35),"|",COLUMN(BCLCTTRGT_06613!A35),",0",",0")</f>
        <v>614584,35|1,0,0</v>
      </c>
      <c r="B35" t="str">
        <f>CONCATENATE(614597,",",ROW(BCLCTTRGT_06613!B35),"|",COLUMN(BCLCTTRGT_06613!B35),",0",",0")</f>
        <v>614597,35|2,0,0</v>
      </c>
      <c r="C35" t="str">
        <f>CONCATENATE(614310,",",ROW(BCLCTTRGT_06613!C35),"|",COLUMN(BCLCTTRGT_06613!C35),",0",",0")</f>
        <v>614310,35|3,0,0</v>
      </c>
      <c r="D35" t="str">
        <f>CONCATENATE(614563,",",ROW(BCLCTTRGT_06613!D35),"|",COLUMN(BCLCTTRGT_06613!D35),",0",",0")</f>
        <v>614563,35|4,0,0</v>
      </c>
      <c r="E35" t="str">
        <f>CONCATENATE(614372,",",ROW(BCLCTTRGT_06613!E35),"|",COLUMN(BCLCTTRGT_06613!E35),",0",",0")</f>
        <v>614372,35|5,0,0</v>
      </c>
    </row>
    <row r="36" spans="1:5" x14ac:dyDescent="0.25">
      <c r="A36" t="str">
        <f>CONCATENATE(614585,",",ROW(BCLCTTRGT_06613!A36),"|",COLUMN(BCLCTTRGT_06613!A36),",0",",0")</f>
        <v>614585,36|1,0,0</v>
      </c>
      <c r="B36" t="str">
        <f>CONCATENATE(614473,",",ROW(BCLCTTRGT_06613!B36),"|",COLUMN(BCLCTTRGT_06613!B36),",0",",0")</f>
        <v>614473,36|2,0,0</v>
      </c>
      <c r="C36" t="str">
        <f>CONCATENATE(614381,",",ROW(BCLCTTRGT_06613!C36),"|",COLUMN(BCLCTTRGT_06613!C36),",0",",0")</f>
        <v>614381,36|3,0,0</v>
      </c>
      <c r="D36" t="str">
        <f>CONCATENATE(614317,",",ROW(BCLCTTRGT_06613!D36),"|",COLUMN(BCLCTTRGT_06613!D36),",0",",0")</f>
        <v>614317,36|4,0,0</v>
      </c>
      <c r="E36" t="str">
        <f>CONCATENATE(614632,",",ROW(BCLCTTRGT_06613!E36),"|",COLUMN(BCLCTTRGT_06613!E36),",0",",0")</f>
        <v>614632,36|5,0,0</v>
      </c>
    </row>
    <row r="37" spans="1:5" x14ac:dyDescent="0.25">
      <c r="A37" t="str">
        <f>CONCATENATE(614586,",",ROW(BCLCTTRGT_06613!A37),"|",COLUMN(BCLCTTRGT_06613!A37),",0",",0")</f>
        <v>614586,37|1,0,0</v>
      </c>
      <c r="B37" t="str">
        <f>CONCATENATE(614598,",",ROW(BCLCTTRGT_06613!B37),"|",COLUMN(BCLCTTRGT_06613!B37),",0",",0")</f>
        <v>614598,37|2,0,0</v>
      </c>
      <c r="C37" t="str">
        <f>CONCATENATE(614382,",",ROW(BCLCTTRGT_06613!C37),"|",COLUMN(BCLCTTRGT_06613!C37),",0",",0")</f>
        <v>614382,37|3,0,0</v>
      </c>
      <c r="D37" t="str">
        <f>CONCATENATE(614318,",",ROW(BCLCTTRGT_06613!D37),"|",COLUMN(BCLCTTRGT_06613!D37),",0",",0")</f>
        <v>614318,37|4,0,0</v>
      </c>
      <c r="E37" t="str">
        <f>CONCATENATE(614633,",",ROW(BCLCTTRGT_06613!E37),"|",COLUMN(BCLCTTRGT_06613!E37),",0",",0")</f>
        <v>614633,37|5,0,0</v>
      </c>
    </row>
    <row r="38" spans="1:5" x14ac:dyDescent="0.25">
      <c r="A38" t="str">
        <f>CONCATENATE(614611,",",ROW(BCLCTTRGT_06613!A38),"|",COLUMN(BCLCTTRGT_06613!A38),",0",",0")</f>
        <v>614611,38|1,0,0</v>
      </c>
      <c r="B38" t="str">
        <f>CONCATENATE(614408,",",ROW(BCLCTTRGT_06613!B38),"|",COLUMN(BCLCTTRGT_06613!B38),",0",",0")</f>
        <v>614408,38|2,0,0</v>
      </c>
      <c r="C38" t="str">
        <f>CONCATENATE(614380,",",ROW(BCLCTTRGT_06613!C38),"|",COLUMN(BCLCTTRGT_06613!C38),",0",",0")</f>
        <v>614380,38|3,0,0</v>
      </c>
      <c r="D38" t="str">
        <f>CONCATENATE(614316,",",ROW(BCLCTTRGT_06613!D38),"|",COLUMN(BCLCTTRGT_06613!D38),",0",",0")</f>
        <v>614316,38|4,0,0</v>
      </c>
      <c r="E38" t="str">
        <f>CONCATENATE(614631,",",ROW(BCLCTTRGT_06613!E38),"|",COLUMN(BCLCTTRGT_06613!E38),",0",",0")</f>
        <v>614631,38|5,0,0</v>
      </c>
    </row>
    <row r="39" spans="1:5" x14ac:dyDescent="0.25">
      <c r="A39" t="str">
        <f>CONCATENATE(614448,",",ROW(BCLCTTRGT_06613!A39),"|",COLUMN(BCLCTTRGT_06613!A39),",0",",0")</f>
        <v>614448,39|1,0,0</v>
      </c>
      <c r="B39" t="str">
        <f>CONCATENATE(614599,",",ROW(BCLCTTRGT_06613!B39),"|",COLUMN(BCLCTTRGT_06613!B39),",0",",0")</f>
        <v>614599,39|2,0,0</v>
      </c>
      <c r="C39" t="str">
        <f>CONCATENATE(614383,",",ROW(BCLCTTRGT_06613!C39),"|",COLUMN(BCLCTTRGT_06613!C39),",0",",0")</f>
        <v>614383,39|3,0,0</v>
      </c>
      <c r="D39" t="str">
        <f>CONCATENATE(614319,",",ROW(BCLCTTRGT_06613!D39),"|",COLUMN(BCLCTTRGT_06613!D39),",0",",0")</f>
        <v>614319,39|4,0,0</v>
      </c>
      <c r="E39" t="str">
        <f>CONCATENATE(614634,",",ROW(BCLCTTRGT_06613!E39),"|",COLUMN(BCLCTTRGT_06613!E39),",0",",0")</f>
        <v>614634,39|5,0,0</v>
      </c>
    </row>
    <row r="40" spans="1:5" x14ac:dyDescent="0.25">
      <c r="A40" t="str">
        <f>CONCATENATE(614625,",",ROW(BCLCTTRGT_06613!A40),"|",COLUMN(BCLCTTRGT_06613!A40),",0",",0")</f>
        <v>614625,40|1,0,0</v>
      </c>
      <c r="B40" t="str">
        <f>CONCATENATE(614457,",",ROW(BCLCTTRGT_06613!B40),"|",COLUMN(BCLCTTRGT_06613!B40),",0",",0")</f>
        <v>614457,40|2,0,0</v>
      </c>
      <c r="C40" t="str">
        <f>CONCATENATE(614384,",",ROW(BCLCTTRGT_06613!C40),"|",COLUMN(BCLCTTRGT_06613!C40),",0",",0")</f>
        <v>614384,40|3,0,0</v>
      </c>
      <c r="D40" t="str">
        <f>CONCATENATE(614320,",",ROW(BCLCTTRGT_06613!D40),"|",COLUMN(BCLCTTRGT_06613!D40),",0",",0")</f>
        <v>614320,40|4,0,0</v>
      </c>
      <c r="E40" t="str">
        <f>CONCATENATE(614635,",",ROW(BCLCTTRGT_06613!E40),"|",COLUMN(BCLCTTRGT_06613!E40),",0",",0")</f>
        <v>614635,40|5,0,0</v>
      </c>
    </row>
    <row r="41" spans="1:5" x14ac:dyDescent="0.25">
      <c r="A41" t="str">
        <f>CONCATENATE(614570,",",ROW(BCLCTTRGT_06613!A41),"|",COLUMN(BCLCTTRGT_06613!A41),",0",",0")</f>
        <v>614570,41|1,0,0</v>
      </c>
      <c r="B41" t="str">
        <f>CONCATENATE(614268,",",ROW(BCLCTTRGT_06613!B41),"|",COLUMN(BCLCTTRGT_06613!B41),",0",",0")</f>
        <v>614268,41|2,0,0</v>
      </c>
      <c r="C41" t="str">
        <f>CONCATENATE(614385,",",ROW(BCLCTTRGT_06613!C41),"|",COLUMN(BCLCTTRGT_06613!C41),",0",",0")</f>
        <v>614385,41|3,0,0</v>
      </c>
      <c r="D41" t="str">
        <f>CONCATENATE(614498,",",ROW(BCLCTTRGT_06613!D41),"|",COLUMN(BCLCTTRGT_06613!D41),",0",",0")</f>
        <v>614498,41|4,0,0</v>
      </c>
      <c r="E41" t="str">
        <f>CONCATENATE(614636,",",ROW(BCLCTTRGT_06613!E41),"|",COLUMN(BCLCTTRGT_06613!E41),",0",",0")</f>
        <v>614636,41|5,0,0</v>
      </c>
    </row>
    <row r="42" spans="1:5" x14ac:dyDescent="0.25">
      <c r="A42" t="str">
        <f>CONCATENATE(614449,",",ROW(BCLCTTRGT_06613!A42),"|",COLUMN(BCLCTTRGT_06613!A42),",0",",0")</f>
        <v>614449,42|1,0,0</v>
      </c>
      <c r="B42" t="str">
        <f>CONCATENATE(614474,",",ROW(BCLCTTRGT_06613!B42),"|",COLUMN(BCLCTTRGT_06613!B42),",0",",0")</f>
        <v>614474,42|2,0,0</v>
      </c>
      <c r="C42" t="str">
        <f>CONCATENATE(614386,",",ROW(BCLCTTRGT_06613!C42),"|",COLUMN(BCLCTTRGT_06613!C42),",0",",0")</f>
        <v>614386,42|3,0,0</v>
      </c>
      <c r="D42" t="str">
        <f>CONCATENATE(614499,",",ROW(BCLCTTRGT_06613!D42),"|",COLUMN(BCLCTTRGT_06613!D42),",0",",0")</f>
        <v>614499,42|4,0,0</v>
      </c>
      <c r="E42" t="str">
        <f>CONCATENATE(614637,",",ROW(BCLCTTRGT_06613!E42),"|",COLUMN(BCLCTTRGT_06613!E42),",0",",0")</f>
        <v>614637,42|5,0,0</v>
      </c>
    </row>
    <row r="43" spans="1:5" x14ac:dyDescent="0.25">
      <c r="A43" t="str">
        <f>CONCATENATE(614626,",",ROW(BCLCTTRGT_06613!A43),"|",COLUMN(BCLCTTRGT_06613!A43),",0",",0")</f>
        <v>614626,43|1,0,0</v>
      </c>
      <c r="B43" t="str">
        <f>CONCATENATE(614600,",",ROW(BCLCTTRGT_06613!B43),"|",COLUMN(BCLCTTRGT_06613!B43),",0",",0")</f>
        <v>614600,43|2,0,0</v>
      </c>
      <c r="C43" t="str">
        <f>CONCATENATE(614387,",",ROW(BCLCTTRGT_06613!C43),"|",COLUMN(BCLCTTRGT_06613!C43),",0",",0")</f>
        <v>614387,43|3,0,0</v>
      </c>
      <c r="D43" t="str">
        <f>CONCATENATE(614501,",",ROW(BCLCTTRGT_06613!D43),"|",COLUMN(BCLCTTRGT_06613!D43),",0",",0")</f>
        <v>614501,43|4,0,0</v>
      </c>
      <c r="E43" t="str">
        <f>CONCATENATE(614638,",",ROW(BCLCTTRGT_06613!E43),"|",COLUMN(BCLCTTRGT_06613!E43),",0",",0")</f>
        <v>614638,43|5,0,0</v>
      </c>
    </row>
    <row r="44" spans="1:5" x14ac:dyDescent="0.25">
      <c r="A44" t="str">
        <f>CONCATENATE(614627,",",ROW(BCLCTTRGT_06613!A44),"|",COLUMN(BCLCTTRGT_06613!A44),",0",",0")</f>
        <v>614627,44|1,0,0</v>
      </c>
      <c r="B44" t="str">
        <f>CONCATENATE(614269,",",ROW(BCLCTTRGT_06613!B44),"|",COLUMN(BCLCTTRGT_06613!B44),",0",",0")</f>
        <v>614269,44|2,0,0</v>
      </c>
      <c r="C44" t="str">
        <f>CONCATENATE(614388,",",ROW(BCLCTTRGT_06613!C44),"|",COLUMN(BCLCTTRGT_06613!C44),",0",",0")</f>
        <v>614388,44|3,0,0</v>
      </c>
      <c r="D44" t="str">
        <f>CONCATENATE(614502,",",ROW(BCLCTTRGT_06613!D44),"|",COLUMN(BCLCTTRGT_06613!D44),",0",",0")</f>
        <v>614502,44|4,0,0</v>
      </c>
      <c r="E44" t="str">
        <f>CONCATENATE(614639,",",ROW(BCLCTTRGT_06613!E44),"|",COLUMN(BCLCTTRGT_06613!E44),",0",",0")</f>
        <v>614639,44|5,0,0</v>
      </c>
    </row>
    <row r="45" spans="1:5" x14ac:dyDescent="0.25">
      <c r="A45" t="str">
        <f>CONCATENATE(614587,",",ROW(BCLCTTRGT_06613!A45),"|",COLUMN(BCLCTTRGT_06613!A45),",0",",0")</f>
        <v>614587,45|1,0,0</v>
      </c>
      <c r="B45" t="str">
        <f>CONCATENATE(614601,",",ROW(BCLCTTRGT_06613!B45),"|",COLUMN(BCLCTTRGT_06613!B45),",0",",0")</f>
        <v>614601,45|2,0,0</v>
      </c>
      <c r="C45" t="str">
        <f>CONCATENATE(614389,",",ROW(BCLCTTRGT_06613!C45),"|",COLUMN(BCLCTTRGT_06613!C45),",0",",0")</f>
        <v>614389,45|3,0,0</v>
      </c>
      <c r="D45" t="str">
        <f>CONCATENATE(614503,",",ROW(BCLCTTRGT_06613!D45),"|",COLUMN(BCLCTTRGT_06613!D45),",0",",0")</f>
        <v>614503,45|4,0,0</v>
      </c>
      <c r="E45" t="str">
        <f>CONCATENATE(614640,",",ROW(BCLCTTRGT_06613!E45),"|",COLUMN(BCLCTTRGT_06613!E45),",0",",0")</f>
        <v>614640,45|5,0,0</v>
      </c>
    </row>
    <row r="46" spans="1:5" x14ac:dyDescent="0.25">
      <c r="A46" t="str">
        <f>CONCATENATE(614450,",",ROW(BCLCTTRGT_06613!A46),"|",COLUMN(BCLCTTRGT_06613!A46),",0",",0")</f>
        <v>614450,46|1,0,0</v>
      </c>
      <c r="B46" t="str">
        <f>CONCATENATE(614475,",",ROW(BCLCTTRGT_06613!B46),"|",COLUMN(BCLCTTRGT_06613!B46),",0",",0")</f>
        <v>614475,46|2,0,0</v>
      </c>
      <c r="C46" t="str">
        <f>CONCATENATE(614390,",",ROW(BCLCTTRGT_06613!C46),"|",COLUMN(BCLCTTRGT_06613!C46),",0",",0")</f>
        <v>614390,46|3,0,0</v>
      </c>
      <c r="D46" t="str">
        <f>CONCATENATE(614504,",",ROW(BCLCTTRGT_06613!D46),"|",COLUMN(BCLCTTRGT_06613!D46),",0",",0")</f>
        <v>614504,46|4,0,0</v>
      </c>
      <c r="E46" t="str">
        <f>CONCATENATE(614641,",",ROW(BCLCTTRGT_06613!E46),"|",COLUMN(BCLCTTRGT_06613!E46),",0",",0")</f>
        <v>614641,46|5,0,0</v>
      </c>
    </row>
    <row r="47" spans="1:5" x14ac:dyDescent="0.25">
      <c r="A47" t="str">
        <f>CONCATENATE(614605,",",ROW(BCLCTTRGT_06613!A47),"|",COLUMN(BCLCTTRGT_06613!A47),",0",",0")</f>
        <v>614605,47|1,0,0</v>
      </c>
      <c r="B47" t="str">
        <f>CONCATENATE(614602,",",ROW(BCLCTTRGT_06613!B47),"|",COLUMN(BCLCTTRGT_06613!B47),",0",",0")</f>
        <v>614602,47|2,0,0</v>
      </c>
      <c r="C47" t="str">
        <f>CONCATENATE(614391,",",ROW(BCLCTTRGT_06613!C47),"|",COLUMN(BCLCTTRGT_06613!C47),",0",",0")</f>
        <v>614391,47|3,0,0</v>
      </c>
      <c r="D47" t="str">
        <f>CONCATENATE(614505,",",ROW(BCLCTTRGT_06613!D47),"|",COLUMN(BCLCTTRGT_06613!D47),",0",",0")</f>
        <v>614505,47|4,0,0</v>
      </c>
      <c r="E47" t="str">
        <f>CONCATENATE(614642,",",ROW(BCLCTTRGT_06613!E47),"|",COLUMN(BCLCTTRGT_06613!E47),",0",",0")</f>
        <v>614642,47|5,0,0</v>
      </c>
    </row>
    <row r="48" spans="1:5" x14ac:dyDescent="0.25">
      <c r="A48" t="str">
        <f>CONCATENATE(614451,",",ROW(BCLCTTRGT_06613!A48),"|",COLUMN(BCLCTTRGT_06613!A48),",0",",0")</f>
        <v>614451,48|1,0,0</v>
      </c>
      <c r="B48" t="str">
        <f>CONCATENATE(614476,",",ROW(BCLCTTRGT_06613!B48),"|",COLUMN(BCLCTTRGT_06613!B48),",0",",0")</f>
        <v>614476,48|2,0,0</v>
      </c>
      <c r="C48" t="str">
        <f>CONCATENATE(614392,",",ROW(BCLCTTRGT_06613!C48),"|",COLUMN(BCLCTTRGT_06613!C48),",0",",0")</f>
        <v>614392,48|3,0,0</v>
      </c>
      <c r="D48" t="str">
        <f>CONCATENATE(614506,",",ROW(BCLCTTRGT_06613!D48),"|",COLUMN(BCLCTTRGT_06613!D48),",0",",0")</f>
        <v>614506,48|4,0,0</v>
      </c>
      <c r="E48" t="str">
        <f>CONCATENATE(614643,",",ROW(BCLCTTRGT_06613!E48),"|",COLUMN(BCLCTTRGT_06613!E48),",0",",0")</f>
        <v>614643,48|5,0,0</v>
      </c>
    </row>
    <row r="49" spans="1:5" x14ac:dyDescent="0.25">
      <c r="A49" t="str">
        <f>CONCATENATE(614588,",",ROW(BCLCTTRGT_06613!A49),"|",COLUMN(BCLCTTRGT_06613!A49),",0",",0")</f>
        <v>614588,49|1,0,0</v>
      </c>
      <c r="B49" t="str">
        <f>CONCATENATE(614458,",",ROW(BCLCTTRGT_06613!B49),"|",COLUMN(BCLCTTRGT_06613!B49),",0",",0")</f>
        <v>614458,49|2,0,0</v>
      </c>
      <c r="C49" t="str">
        <f>CONCATENATE(614393,",",ROW(BCLCTTRGT_06613!C49),"|",COLUMN(BCLCTTRGT_06613!C49),",0",",0")</f>
        <v>614393,49|3,0,0</v>
      </c>
      <c r="D49" t="str">
        <f>CONCATENATE(614507,",",ROW(BCLCTTRGT_06613!D49),"|",COLUMN(BCLCTTRGT_06613!D49),",0",",0")</f>
        <v>614507,49|4,0,0</v>
      </c>
      <c r="E49" t="str">
        <f>CONCATENATE(614644,",",ROW(BCLCTTRGT_06613!E49),"|",COLUMN(BCLCTTRGT_06613!E49),",0",",0")</f>
        <v>614644,49|5,0,0</v>
      </c>
    </row>
    <row r="50" spans="1:5" x14ac:dyDescent="0.25">
      <c r="A50" t="str">
        <f>CONCATENATE(614271,",",ROW(BCLCTTRGT_06613!A50),"|",COLUMN(BCLCTTRGT_06613!A50),",0",",0")</f>
        <v>614271,50|1,0,0</v>
      </c>
      <c r="B50" t="str">
        <f>CONCATENATE(614280,",",ROW(BCLCTTRGT_06613!B50),"|",COLUMN(BCLCTTRGT_06613!B50),",0",",0")</f>
        <v>614280,50|2,0,0</v>
      </c>
      <c r="C50" t="str">
        <f>CONCATENATE(614394,",",ROW(BCLCTTRGT_06613!C50),"|",COLUMN(BCLCTTRGT_06613!C50),",0",",0")</f>
        <v>614394,50|3,0,0</v>
      </c>
      <c r="D50" t="str">
        <f>CONCATENATE(614508,",",ROW(BCLCTTRGT_06613!D50),"|",COLUMN(BCLCTTRGT_06613!D50),",0",",0")</f>
        <v>614508,50|4,0,0</v>
      </c>
      <c r="E50" t="str">
        <f>CONCATENATE(614440,",",ROW(BCLCTTRGT_06613!E50),"|",COLUMN(BCLCTTRGT_06613!E50),",0",",0")</f>
        <v>614440,50|5,0,0</v>
      </c>
    </row>
    <row r="51" spans="1:5" x14ac:dyDescent="0.25">
      <c r="A51" t="str">
        <f>CONCATENATE(614462,",",ROW(BCLCTTRGT_06613!A51),"|",COLUMN(BCLCTTRGT_06613!A51),",0",",0")</f>
        <v>614462,51|1,0,0</v>
      </c>
      <c r="B51" t="str">
        <f>CONCATENATE(614281,",",ROW(BCLCTTRGT_06613!B51),"|",COLUMN(BCLCTTRGT_06613!B51),",0",",0")</f>
        <v>614281,51|2,0,0</v>
      </c>
      <c r="C51" t="str">
        <f>CONCATENATE(614395,",",ROW(BCLCTTRGT_06613!C51),"|",COLUMN(BCLCTTRGT_06613!C51),",0",",0")</f>
        <v>614395,51|3,0,0</v>
      </c>
      <c r="D51" t="str">
        <f>CONCATENATE(614509,",",ROW(BCLCTTRGT_06613!D51),"|",COLUMN(BCLCTTRGT_06613!D51),",0",",0")</f>
        <v>614509,51|4,0,0</v>
      </c>
      <c r="E51" t="str">
        <f>CONCATENATE(614441,",",ROW(BCLCTTRGT_06613!E51),"|",COLUMN(BCLCTTRGT_06613!E51),",0",",0")</f>
        <v>614441,51|5,0,0</v>
      </c>
    </row>
    <row r="52" spans="1:5" x14ac:dyDescent="0.25">
      <c r="A52" t="str">
        <f>CONCATENATE(614606,",",ROW(BCLCTTRGT_06613!A52),"|",COLUMN(BCLCTTRGT_06613!A52),",0",",0")</f>
        <v>614606,52|1,0,0</v>
      </c>
      <c r="B52" t="s">
        <v>5</v>
      </c>
      <c r="C52" t="str">
        <f>CONCATENATE(614396,",",ROW(BCLCTTRGT_06613!C52),"|",COLUMN(BCLCTTRGT_06613!C52),",0",",0")</f>
        <v>614396,52|3,0,0</v>
      </c>
      <c r="D52" t="str">
        <f>CONCATENATE(614510,",",ROW(BCLCTTRGT_06613!D52),"|",COLUMN(BCLCTTRGT_06613!D52),",0",",0")</f>
        <v>614510,52|4,0,0</v>
      </c>
      <c r="E52" t="str">
        <f>CONCATENATE(614442,",",ROW(BCLCTTRGT_06613!E52),"|",COLUMN(BCLCTTRGT_06613!E52),",0",",0")</f>
        <v>614442,52|5,0,0</v>
      </c>
    </row>
    <row r="53" spans="1:5" x14ac:dyDescent="0.25">
      <c r="A53" t="str">
        <f>CONCATENATE(614272,",",ROW(BCLCTTRGT_06613!A53),"|",COLUMN(BCLCTTRGT_06613!A53),",0",",0")</f>
        <v>614272,53|1,0,0</v>
      </c>
      <c r="B53" t="str">
        <f>CONCATENATE(614409,",",ROW(BCLCTTRGT_06613!B53),"|",COLUMN(BCLCTTRGT_06613!B53),",0",",0")</f>
        <v>614409,53|2,0,0</v>
      </c>
      <c r="C53" t="str">
        <f>CONCATENATE(614397,",",ROW(BCLCTTRGT_06613!C53),"|",COLUMN(BCLCTTRGT_06613!C53),",0",",0")</f>
        <v>614397,53|3,0,0</v>
      </c>
      <c r="D53" t="str">
        <f>CONCATENATE(614511,",",ROW(BCLCTTRGT_06613!D53),"|",COLUMN(BCLCTTRGT_06613!D53),",0",",0")</f>
        <v>614511,53|4,0,0</v>
      </c>
      <c r="E53" t="str">
        <f>CONCATENATE(614443,",",ROW(BCLCTTRGT_06613!E53),"|",COLUMN(BCLCTTRGT_06613!E53),",0",",0")</f>
        <v>614443,53|5,0,0</v>
      </c>
    </row>
    <row r="54" spans="1:5" x14ac:dyDescent="0.25">
      <c r="A54" t="str">
        <f>CONCATENATE(614452,",",ROW(BCLCTTRGT_06613!A54),"|",COLUMN(BCLCTTRGT_06613!A54),",0",",0")</f>
        <v>614452,54|1,0,0</v>
      </c>
      <c r="B54" t="str">
        <f>CONCATENATE(614410,",",ROW(BCLCTTRGT_06613!B54),"|",COLUMN(BCLCTTRGT_06613!B54),",0",",0")</f>
        <v>614410,54|2,0,0</v>
      </c>
      <c r="C54" t="str">
        <f>CONCATENATE(614398,",",ROW(BCLCTTRGT_06613!C54),"|",COLUMN(BCLCTTRGT_06613!C54),",0",",0")</f>
        <v>614398,54|3,0,0</v>
      </c>
      <c r="D54" t="str">
        <f>CONCATENATE(614512,",",ROW(BCLCTTRGT_06613!D54),"|",COLUMN(BCLCTTRGT_06613!D54),",0",",0")</f>
        <v>614512,54|4,0,0</v>
      </c>
      <c r="E54" t="str">
        <f>CONCATENATE(614444,",",ROW(BCLCTTRGT_06613!E54),"|",COLUMN(BCLCTTRGT_06613!E54),",0",",0")</f>
        <v>614444,54|5,0,0</v>
      </c>
    </row>
    <row r="55" spans="1:5" x14ac:dyDescent="0.25">
      <c r="A55" t="str">
        <f>CONCATENATE(614589,",",ROW(BCLCTTRGT_06613!A55),"|",COLUMN(BCLCTTRGT_06613!A55),",0",",0")</f>
        <v>614589,55|1,0,0</v>
      </c>
      <c r="B55" t="str">
        <f>CONCATENATE(614603,",",ROW(BCLCTTRGT_06613!B55),"|",COLUMN(BCLCTTRGT_06613!B55),",0",",0")</f>
        <v>614603,55|2,0,0</v>
      </c>
      <c r="C55" t="str">
        <f>CONCATENATE(614399,",",ROW(BCLCTTRGT_06613!C55),"|",COLUMN(BCLCTTRGT_06613!C55),",0",",0")</f>
        <v>614399,55|3,0,0</v>
      </c>
      <c r="D55" t="str">
        <f>CONCATENATE(614513,",",ROW(BCLCTTRGT_06613!D55),"|",COLUMN(BCLCTTRGT_06613!D55),",0",",0")</f>
        <v>614513,55|4,0,0</v>
      </c>
      <c r="E55" t="str">
        <f>CONCATENATE(614321,",",ROW(BCLCTTRGT_06613!E55),"|",COLUMN(BCLCTTRGT_06613!E55),",0",",0")</f>
        <v>614321,55|5,0,0</v>
      </c>
    </row>
    <row r="56" spans="1:5" x14ac:dyDescent="0.25">
      <c r="A56" t="str">
        <f>CONCATENATE(614567,",",ROW(BCLCTTRGT_06613!A56),"|",COLUMN(BCLCTTRGT_06613!A56),",0",",0")</f>
        <v>614567,56|1,0,0</v>
      </c>
      <c r="B56" t="str">
        <f>CONCATENATE(614282,",",ROW(BCLCTTRGT_06613!B56),"|",COLUMN(BCLCTTRGT_06613!B56),",0",",0")</f>
        <v>614282,56|2,0,0</v>
      </c>
      <c r="C56" t="str">
        <f>CONCATENATE(614400,",",ROW(BCLCTTRGT_06613!C56),"|",COLUMN(BCLCTTRGT_06613!C56),",0",",0")</f>
        <v>614400,56|3,0,0</v>
      </c>
      <c r="D56" t="str">
        <f>CONCATENATE(614514,",",ROW(BCLCTTRGT_06613!D56),"|",COLUMN(BCLCTTRGT_06613!D56),",0",",0")</f>
        <v>614514,56|4,0,0</v>
      </c>
      <c r="E56" t="str">
        <f>CONCATENATE(614322,",",ROW(BCLCTTRGT_06613!E56),"|",COLUMN(BCLCTTRGT_06613!E56),",0",",0")</f>
        <v>614322,56|5,0,0</v>
      </c>
    </row>
    <row r="57" spans="1:5" x14ac:dyDescent="0.25">
      <c r="A57" t="str">
        <f>CONCATENATE(614571,",",ROW(BCLCTTRGT_06613!A57),"|",COLUMN(BCLCTTRGT_06613!A57),",0",",0")</f>
        <v>614571,57|1,0,0</v>
      </c>
      <c r="B57" t="str">
        <f>CONCATENATE(614283,",",ROW(BCLCTTRGT_06613!B57),"|",COLUMN(BCLCTTRGT_06613!B57),",0",",0")</f>
        <v>614283,57|2,0,0</v>
      </c>
      <c r="C57" t="str">
        <f>CONCATENATE(614401,",",ROW(BCLCTTRGT_06613!C57),"|",COLUMN(BCLCTTRGT_06613!C57),",0",",0")</f>
        <v>614401,57|3,0,0</v>
      </c>
      <c r="D57" t="str">
        <f>CONCATENATE(614515,",",ROW(BCLCTTRGT_06613!D57),"|",COLUMN(BCLCTTRGT_06613!D57),",0",",0")</f>
        <v>614515,57|4,0,0</v>
      </c>
      <c r="E57" t="str">
        <f>CONCATENATE(614323,",",ROW(BCLCTTRGT_06613!E57),"|",COLUMN(BCLCTTRGT_06613!E57),",0",",0")</f>
        <v>614323,57|5,0,0</v>
      </c>
    </row>
    <row r="58" spans="1:5" x14ac:dyDescent="0.25">
      <c r="A58" t="str">
        <f>CONCATENATE(614453,",",ROW(BCLCTTRGT_06613!A58),"|",COLUMN(BCLCTTRGT_06613!A58),",0",",0")</f>
        <v>614453,58|1,0,0</v>
      </c>
      <c r="B58" t="str">
        <f>CONCATENATE(614477,",",ROW(BCLCTTRGT_06613!B58),"|",COLUMN(BCLCTTRGT_06613!B58),",0",",0")</f>
        <v>614477,58|2,0,0</v>
      </c>
      <c r="C58" t="str">
        <f>CONCATENATE(614402,",",ROW(BCLCTTRGT_06613!C58),"|",COLUMN(BCLCTTRGT_06613!C58),",0",",0")</f>
        <v>614402,58|3,0,0</v>
      </c>
      <c r="D58" t="str">
        <f>CONCATENATE(614516,",",ROW(BCLCTTRGT_06613!D58),"|",COLUMN(BCLCTTRGT_06613!D58),",0",",0")</f>
        <v>614516,58|4,0,0</v>
      </c>
      <c r="E58" t="str">
        <f>CONCATENATE(614324,",",ROW(BCLCTTRGT_06613!E58),"|",COLUMN(BCLCTTRGT_06613!E58),",0",",0")</f>
        <v>614324,58|5,0,0</v>
      </c>
    </row>
    <row r="59" spans="1:5" x14ac:dyDescent="0.25">
      <c r="A59" t="str">
        <f>CONCATENATE(614484,",",ROW(BCLCTTRGT_06613!A59),"|",COLUMN(BCLCTTRGT_06613!A59),",0",",0")</f>
        <v>614484,59|1,0,0</v>
      </c>
      <c r="B59" t="s">
        <v>5</v>
      </c>
      <c r="C59" t="str">
        <f>CONCATENATE(614403,",",ROW(BCLCTTRGT_06613!C59),"|",COLUMN(BCLCTTRGT_06613!C59),",0",",0")</f>
        <v>614403,59|3,0,0</v>
      </c>
      <c r="D59" t="str">
        <f>CONCATENATE(614517,",",ROW(BCLCTTRGT_06613!D59),"|",COLUMN(BCLCTTRGT_06613!D59),",0",",0")</f>
        <v>614517,59|4,0,0</v>
      </c>
      <c r="E59" t="str">
        <f>CONCATENATE(614325,",",ROW(BCLCTTRGT_06613!E59),"|",COLUMN(BCLCTTRGT_06613!E59),",0",",0")</f>
        <v>614325,59|5,0,0</v>
      </c>
    </row>
    <row r="60" spans="1:5" x14ac:dyDescent="0.25">
      <c r="A60" t="str">
        <f>CONCATENATE(614485,",",ROW(BCLCTTRGT_06613!A60),"|",COLUMN(BCLCTTRGT_06613!A60),",0",",0")</f>
        <v>614485,60|1,0,0</v>
      </c>
      <c r="B60" t="str">
        <f>CONCATENATE(614604,",",ROW(BCLCTTRGT_06613!B60),"|",COLUMN(BCLCTTRGT_06613!B60),",0",",0")</f>
        <v>614604,60|2,0,0</v>
      </c>
      <c r="C60" t="str">
        <f>CONCATENATE(614415,",",ROW(BCLCTTRGT_06613!C60),"|",COLUMN(BCLCTTRGT_06613!C60),",0",",0")</f>
        <v>614415,60|3,0,0</v>
      </c>
      <c r="D60" t="str">
        <f>CONCATENATE(614518,",",ROW(BCLCTTRGT_06613!D60),"|",COLUMN(BCLCTTRGT_06613!D60),",0",",0")</f>
        <v>614518,60|4,0,0</v>
      </c>
      <c r="E60" t="str">
        <f>CONCATENATE(614326,",",ROW(BCLCTTRGT_06613!E60),"|",COLUMN(BCLCTTRGT_06613!E60),",0",",0")</f>
        <v>614326,60|5,0,0</v>
      </c>
    </row>
    <row r="61" spans="1:5" x14ac:dyDescent="0.25">
      <c r="A61" t="str">
        <f>CONCATENATE(614463,",",ROW(BCLCTTRGT_06613!A61),"|",COLUMN(BCLCTTRGT_06613!A61),",0",",0")</f>
        <v>614463,61|1,0,0</v>
      </c>
      <c r="B61" t="str">
        <f>CONCATENATE(614411,",",ROW(BCLCTTRGT_06613!B61),"|",COLUMN(BCLCTTRGT_06613!B61),",0",",0")</f>
        <v>614411,61|2,0,0</v>
      </c>
      <c r="C61" t="str">
        <f>CONCATENATE(614416,",",ROW(BCLCTTRGT_06613!C61),"|",COLUMN(BCLCTTRGT_06613!C61),",0",",0")</f>
        <v>614416,61|3,0,0</v>
      </c>
      <c r="D61" t="str">
        <f>CONCATENATE(614519,",",ROW(BCLCTTRGT_06613!D61),"|",COLUMN(BCLCTTRGT_06613!D61),",0",",0")</f>
        <v>614519,61|4,0,0</v>
      </c>
      <c r="E61" t="str">
        <f>CONCATENATE(614327,",",ROW(BCLCTTRGT_06613!E61),"|",COLUMN(BCLCTTRGT_06613!E61),",0",",0")</f>
        <v>614327,61|5,0,0</v>
      </c>
    </row>
    <row r="62" spans="1:5" x14ac:dyDescent="0.25">
      <c r="A62" t="str">
        <f>CONCATENATE(614273,",",ROW(BCLCTTRGT_06613!A62),"|",COLUMN(BCLCTTRGT_06613!A62),",0",",0")</f>
        <v>614273,62|1,0,0</v>
      </c>
      <c r="B62" t="str">
        <f>CONCATENATE(614459,",",ROW(BCLCTTRGT_06613!B62),"|",COLUMN(BCLCTTRGT_06613!B62),",0",",0")</f>
        <v>614459,62|2,0,0</v>
      </c>
      <c r="C62" t="str">
        <f>CONCATENATE(614417,",",ROW(BCLCTTRGT_06613!C62),"|",COLUMN(BCLCTTRGT_06613!C62),",0",",0")</f>
        <v>614417,62|3,0,0</v>
      </c>
      <c r="D62" t="str">
        <f>CONCATENATE(614520,",",ROW(BCLCTTRGT_06613!D62),"|",COLUMN(BCLCTTRGT_06613!D62),",0",",0")</f>
        <v>614520,62|4,0,0</v>
      </c>
      <c r="E62" t="str">
        <f>CONCATENATE(614328,",",ROW(BCLCTTRGT_06613!E62),"|",COLUMN(BCLCTTRGT_06613!E62),",0",",0")</f>
        <v>614328,62|5,0,0</v>
      </c>
    </row>
    <row r="63" spans="1:5" x14ac:dyDescent="0.25">
      <c r="A63" t="str">
        <f>CONCATENATE(614572,",",ROW(BCLCTTRGT_06613!A63),"|",COLUMN(BCLCTTRGT_06613!A63),",0",",0")</f>
        <v>614572,63|1,0,0</v>
      </c>
      <c r="B63" t="str">
        <f>CONCATENATE(614412,",",ROW(BCLCTTRGT_06613!B63),"|",COLUMN(BCLCTTRGT_06613!B63),",0",",0")</f>
        <v>614412,63|2,0,0</v>
      </c>
      <c r="C63" t="str">
        <f>CONCATENATE(614418,",",ROW(BCLCTTRGT_06613!C63),"|",COLUMN(BCLCTTRGT_06613!C63),",0",",0")</f>
        <v>614418,63|3,0,0</v>
      </c>
      <c r="D63" t="str">
        <f>CONCATENATE(614521,",",ROW(BCLCTTRGT_06613!D63),"|",COLUMN(BCLCTTRGT_06613!D63),",0",",0")</f>
        <v>614521,63|4,0,0</v>
      </c>
      <c r="E63" t="str">
        <f>CONCATENATE(614329,",",ROW(BCLCTTRGT_06613!E63),"|",COLUMN(BCLCTTRGT_06613!E63),",0",",0")</f>
        <v>614329,63|5,0,0</v>
      </c>
    </row>
    <row r="64" spans="1:5" x14ac:dyDescent="0.25">
      <c r="A64" t="str">
        <f>CONCATENATE(614464,",",ROW(BCLCTTRGT_06613!A64),"|",COLUMN(BCLCTTRGT_06613!A64),",0",",0")</f>
        <v>614464,64|1,0,0</v>
      </c>
      <c r="B64" t="str">
        <f>CONCATENATE(614284,",",ROW(BCLCTTRGT_06613!B64),"|",COLUMN(BCLCTTRGT_06613!B64),",0",",0")</f>
        <v>614284,64|2,0,0</v>
      </c>
      <c r="C64" t="str">
        <f>CONCATENATE(614419,",",ROW(BCLCTTRGT_06613!C64),"|",COLUMN(BCLCTTRGT_06613!C64),",0",",0")</f>
        <v>614419,64|3,0,0</v>
      </c>
      <c r="D64" t="str">
        <f>CONCATENATE(614522,",",ROW(BCLCTTRGT_06613!D64),"|",COLUMN(BCLCTTRGT_06613!D64),",0",",0")</f>
        <v>614522,64|4,0,0</v>
      </c>
      <c r="E64" t="str">
        <f>CONCATENATE(614330,",",ROW(BCLCTTRGT_06613!E64),"|",COLUMN(BCLCTTRGT_06613!E64),",0",",0")</f>
        <v>614330,64|5,0,0</v>
      </c>
    </row>
    <row r="65" spans="1:5" x14ac:dyDescent="0.25">
      <c r="A65" t="str">
        <f>CONCATENATE(614465,",",ROW(BCLCTTRGT_06613!A65),"|",COLUMN(BCLCTTRGT_06613!A65),",0",",0")</f>
        <v>614465,65|1,0,0</v>
      </c>
      <c r="B65" t="str">
        <f>CONCATENATE(614270,",",ROW(BCLCTTRGT_06613!B65),"|",COLUMN(BCLCTTRGT_06613!B65),",0",",0")</f>
        <v>614270,65|2,0,0</v>
      </c>
      <c r="C65" t="str">
        <f>CONCATENATE(614420,",",ROW(BCLCTTRGT_06613!C65),"|",COLUMN(BCLCTTRGT_06613!C65),",0",",0")</f>
        <v>614420,65|3,0,0</v>
      </c>
      <c r="D65" t="str">
        <f>CONCATENATE(614523,",",ROW(BCLCTTRGT_06613!D65),"|",COLUMN(BCLCTTRGT_06613!D65),",0",",0")</f>
        <v>614523,65|4,0,0</v>
      </c>
      <c r="E65" t="str">
        <f>CONCATENATE(614331,",",ROW(BCLCTTRGT_06613!E65),"|",COLUMN(BCLCTTRGT_06613!E65),",0",",0")</f>
        <v>614331,65|5,0,0</v>
      </c>
    </row>
    <row r="66" spans="1:5" x14ac:dyDescent="0.25">
      <c r="A66" t="str">
        <f>CONCATENATE(614466,",",ROW(BCLCTTRGT_06613!A66),"|",COLUMN(BCLCTTRGT_06613!A66),",0",",0")</f>
        <v>614466,66|1,0,0</v>
      </c>
      <c r="B66" t="str">
        <f>CONCATENATE(614478,",",ROW(BCLCTTRGT_06613!B66),"|",COLUMN(BCLCTTRGT_06613!B66),",0",",0")</f>
        <v>614478,66|2,0,0</v>
      </c>
      <c r="C66" t="str">
        <f>CONCATENATE(614421,",",ROW(BCLCTTRGT_06613!C66),"|",COLUMN(BCLCTTRGT_06613!C66),",0",",0")</f>
        <v>614421,66|3,0,0</v>
      </c>
      <c r="D66" t="str">
        <f>CONCATENATE(614524,",",ROW(BCLCTTRGT_06613!D66),"|",COLUMN(BCLCTTRGT_06613!D66),",0",",0")</f>
        <v>614524,66|4,0,0</v>
      </c>
      <c r="E66" t="str">
        <f>CONCATENATE(614332,",",ROW(BCLCTTRGT_06613!E66),"|",COLUMN(BCLCTTRGT_06613!E66),",0",",0")</f>
        <v>614332,66|5,0,0</v>
      </c>
    </row>
    <row r="67" spans="1:5" x14ac:dyDescent="0.25">
      <c r="A67" t="str">
        <f>CONCATENATE(614467,",",ROW(BCLCTTRGT_06613!A67),"|",COLUMN(BCLCTTRGT_06613!A67),",0",",0")</f>
        <v>614467,67|1,0,0</v>
      </c>
      <c r="B67" t="str">
        <f>CONCATENATE(614413,",",ROW(BCLCTTRGT_06613!B67),"|",COLUMN(BCLCTTRGT_06613!B67),",0",",0")</f>
        <v>614413,67|2,0,0</v>
      </c>
      <c r="C67" t="str">
        <f>CONCATENATE(614422,",",ROW(BCLCTTRGT_06613!C67),"|",COLUMN(BCLCTTRGT_06613!C67),",0",",0")</f>
        <v>614422,67|3,0,0</v>
      </c>
      <c r="D67" t="str">
        <f>CONCATENATE(614525,",",ROW(BCLCTTRGT_06613!D67),"|",COLUMN(BCLCTTRGT_06613!D67),",0",",0")</f>
        <v>614525,67|4,0,0</v>
      </c>
      <c r="E67" t="str">
        <f>CONCATENATE(614333,",",ROW(BCLCTTRGT_06613!E67),"|",COLUMN(BCLCTTRGT_06613!E67),",0",",0")</f>
        <v>614333,67|5,0,0</v>
      </c>
    </row>
    <row r="68" spans="1:5" x14ac:dyDescent="0.25">
      <c r="A68" t="str">
        <f>CONCATENATE(614607,",",ROW(BCLCTTRGT_06613!A68),"|",COLUMN(BCLCTTRGT_06613!A68),",0",",0")</f>
        <v>614607,68|1,0,0</v>
      </c>
      <c r="B68" t="str">
        <f>CONCATENATE(614581,",",ROW(BCLCTTRGT_06613!B68),"|",COLUMN(BCLCTTRGT_06613!B68),",0",",0")</f>
        <v>614581,68|2,0,0</v>
      </c>
      <c r="C68" t="str">
        <f>CONCATENATE(614423,",",ROW(BCLCTTRGT_06613!C68),"|",COLUMN(BCLCTTRGT_06613!C68),",0",",0")</f>
        <v>614423,68|3,0,0</v>
      </c>
      <c r="D68" t="str">
        <f>CONCATENATE(614526,",",ROW(BCLCTTRGT_06613!D68),"|",COLUMN(BCLCTTRGT_06613!D68),",0",",0")</f>
        <v>614526,68|4,0,0</v>
      </c>
      <c r="E68" t="str">
        <f>CONCATENATE(614334,",",ROW(BCLCTTRGT_06613!E68),"|",COLUMN(BCLCTTRGT_06613!E68),",0",",0")</f>
        <v>614334,68|5,0,0</v>
      </c>
    </row>
    <row r="69" spans="1:5" x14ac:dyDescent="0.25">
      <c r="A69" t="str">
        <f>CONCATENATE(614274,",",ROW(BCLCTTRGT_06613!A69),"|",COLUMN(BCLCTTRGT_06613!A69),",0",",0")</f>
        <v>614274,69|1,0,0</v>
      </c>
      <c r="B69" t="str">
        <f>CONCATENATE(614285,",",ROW(BCLCTTRGT_06613!B69),"|",COLUMN(BCLCTTRGT_06613!B69),",0",",0")</f>
        <v>614285,69|2,0,0</v>
      </c>
      <c r="C69" t="str">
        <f>CONCATENATE(614424,",",ROW(BCLCTTRGT_06613!C69),"|",COLUMN(BCLCTTRGT_06613!C69),",0",",0")</f>
        <v>614424,69|3,0,0</v>
      </c>
      <c r="D69" t="str">
        <f>CONCATENATE(614527,",",ROW(BCLCTTRGT_06613!D69),"|",COLUMN(BCLCTTRGT_06613!D69),",0",",0")</f>
        <v>614527,69|4,0,0</v>
      </c>
      <c r="E69" t="str">
        <f>CONCATENATE(614335,",",ROW(BCLCTTRGT_06613!E69),"|",COLUMN(BCLCTTRGT_06613!E69),",0",",0")</f>
        <v>614335,69|5,0,0</v>
      </c>
    </row>
    <row r="70" spans="1:5" x14ac:dyDescent="0.25">
      <c r="A70" t="str">
        <f>CONCATENATE(614590,",",ROW(BCLCTTRGT_06613!A70),"|",COLUMN(BCLCTTRGT_06613!A70),",0",",0")</f>
        <v>614590,70|1,0,0</v>
      </c>
      <c r="B70" t="str">
        <f>CONCATENATE(614460,",",ROW(BCLCTTRGT_06613!B70),"|",COLUMN(BCLCTTRGT_06613!B70),",0",",0")</f>
        <v>614460,70|2,0,0</v>
      </c>
      <c r="C70" t="str">
        <f>CONCATENATE(614425,",",ROW(BCLCTTRGT_06613!C70),"|",COLUMN(BCLCTTRGT_06613!C70),",0",",0")</f>
        <v>614425,70|3,0,0</v>
      </c>
      <c r="D70" t="str">
        <f>CONCATENATE(614528,",",ROW(BCLCTTRGT_06613!D70),"|",COLUMN(BCLCTTRGT_06613!D70),",0",",0")</f>
        <v>614528,70|4,0,0</v>
      </c>
      <c r="E70" t="str">
        <f>CONCATENATE(614336,",",ROW(BCLCTTRGT_06613!E70),"|",COLUMN(BCLCTTRGT_06613!E70),",0",",0")</f>
        <v>614336,70|5,0,0</v>
      </c>
    </row>
    <row r="71" spans="1:5" x14ac:dyDescent="0.25">
      <c r="A71" t="str">
        <f>CONCATENATE(614468,",",ROW(BCLCTTRGT_06613!A71),"|",COLUMN(BCLCTTRGT_06613!A71),",0",",0")</f>
        <v>614468,71|1,0,0</v>
      </c>
      <c r="B71" t="str">
        <f>CONCATENATE(614479,",",ROW(BCLCTTRGT_06613!B71),"|",COLUMN(BCLCTTRGT_06613!B71),",0",",0")</f>
        <v>614479,71|2,0,0</v>
      </c>
      <c r="C71" t="str">
        <f>CONCATENATE(614426,",",ROW(BCLCTTRGT_06613!C71),"|",COLUMN(BCLCTTRGT_06613!C71),",0",",0")</f>
        <v>614426,71|3,0,0</v>
      </c>
      <c r="D71" t="str">
        <f>CONCATENATE(614529,",",ROW(BCLCTTRGT_06613!D71),"|",COLUMN(BCLCTTRGT_06613!D71),",0",",0")</f>
        <v>614529,71|4,0,0</v>
      </c>
      <c r="E71" t="str">
        <f>CONCATENATE(614337,",",ROW(BCLCTTRGT_06613!E71),"|",COLUMN(BCLCTTRGT_06613!E71),",0",",0")</f>
        <v>614337,71|5,0,0</v>
      </c>
    </row>
    <row r="72" spans="1:5" x14ac:dyDescent="0.25">
      <c r="A72" t="str">
        <f>CONCATENATE(614491,",",ROW(BCLCTTRGT_06613!A72),"|",COLUMN(BCLCTTRGT_06613!A72),",0",",0")</f>
        <v>614491,72|1,0,0</v>
      </c>
      <c r="B72" t="str">
        <f>CONCATENATE(614480,",",ROW(BCLCTTRGT_06613!B72),"|",COLUMN(BCLCTTRGT_06613!B72),",0",",0")</f>
        <v>614480,72|2,0,0</v>
      </c>
      <c r="C72" t="str">
        <f>CONCATENATE(614427,",",ROW(BCLCTTRGT_06613!C72),"|",COLUMN(BCLCTTRGT_06613!C72),",0",",0")</f>
        <v>614427,72|3,0,0</v>
      </c>
      <c r="D72" t="str">
        <f>CONCATENATE(614530,",",ROW(BCLCTTRGT_06613!D72),"|",COLUMN(BCLCTTRGT_06613!D72),",0",",0")</f>
        <v>614530,72|4,0,0</v>
      </c>
      <c r="E72" t="str">
        <f>CONCATENATE(614338,",",ROW(BCLCTTRGT_06613!E72),"|",COLUMN(BCLCTTRGT_06613!E72),",0",",0")</f>
        <v>614338,72|5,0,0</v>
      </c>
    </row>
    <row r="73" spans="1:5" x14ac:dyDescent="0.25">
      <c r="A73" t="str">
        <f>CONCATENATE(614492,",",ROW(BCLCTTRGT_06613!A73),"|",COLUMN(BCLCTTRGT_06613!A73),",0",",0")</f>
        <v>614492,73|1,0,0</v>
      </c>
      <c r="B73" t="str">
        <f>CONCATENATE(614481,",",ROW(BCLCTTRGT_06613!B73),"|",COLUMN(BCLCTTRGT_06613!B73),",0",",0")</f>
        <v>614481,73|2,0,0</v>
      </c>
      <c r="C73" t="str">
        <f>CONCATENATE(614428,",",ROW(BCLCTTRGT_06613!C73),"|",COLUMN(BCLCTTRGT_06613!C73),",0",",0")</f>
        <v>614428,73|3,0,0</v>
      </c>
      <c r="D73" t="str">
        <f>CONCATENATE(614531,",",ROW(BCLCTTRGT_06613!D73),"|",COLUMN(BCLCTTRGT_06613!D73),",0",",0")</f>
        <v>614531,73|4,0,0</v>
      </c>
      <c r="E73" t="str">
        <f>CONCATENATE(614339,",",ROW(BCLCTTRGT_06613!E73),"|",COLUMN(BCLCTTRGT_06613!E73),",0",",0")</f>
        <v>614339,73|5,0,0</v>
      </c>
    </row>
    <row r="74" spans="1:5" x14ac:dyDescent="0.25">
      <c r="A74" t="str">
        <f>CONCATENATE(614486,",",ROW(BCLCTTRGT_06613!A74),"|",COLUMN(BCLCTTRGT_06613!A74),",0",",0")</f>
        <v>614486,74|1,0,0</v>
      </c>
      <c r="B74" t="str">
        <f>CONCATENATE(614414,",",ROW(BCLCTTRGT_06613!B74),"|",COLUMN(BCLCTTRGT_06613!B74),",0",",0")</f>
        <v>614414,74|2,0,0</v>
      </c>
      <c r="C74" t="str">
        <f>CONCATENATE(614429,",",ROW(BCLCTTRGT_06613!C74),"|",COLUMN(BCLCTTRGT_06613!C74),",0",",0")</f>
        <v>614429,74|3,0,0</v>
      </c>
      <c r="D74" t="str">
        <f>CONCATENATE(614532,",",ROW(BCLCTTRGT_06613!D74),"|",COLUMN(BCLCTTRGT_06613!D74),",0",",0")</f>
        <v>614532,74|4,0,0</v>
      </c>
      <c r="E74" t="str">
        <f>CONCATENATE(614340,",",ROW(BCLCTTRGT_06613!E74),"|",COLUMN(BCLCTTRGT_06613!E74),",0",",0")</f>
        <v>614340,74|5,0,0</v>
      </c>
    </row>
    <row r="75" spans="1:5" x14ac:dyDescent="0.25">
      <c r="A75" t="str">
        <f>CONCATENATE(614573,",",ROW(BCLCTTRGT_06613!A75),"|",COLUMN(BCLCTTRGT_06613!A75),",0",",0")</f>
        <v>614573,75|1,0,0</v>
      </c>
      <c r="B75" t="str">
        <f>CONCATENATE(614461,",",ROW(BCLCTTRGT_06613!B75),"|",COLUMN(BCLCTTRGT_06613!B75),",0",",0")</f>
        <v>614461,75|2,0,0</v>
      </c>
      <c r="C75" t="str">
        <f>CONCATENATE(614430,",",ROW(BCLCTTRGT_06613!C75),"|",COLUMN(BCLCTTRGT_06613!C75),",0",",0")</f>
        <v>614430,75|3,0,0</v>
      </c>
      <c r="D75" t="str">
        <f>CONCATENATE(614533,",",ROW(BCLCTTRGT_06613!D75),"|",COLUMN(BCLCTTRGT_06613!D75),",0",",0")</f>
        <v>614533,75|4,0,0</v>
      </c>
      <c r="E75" t="str">
        <f>CONCATENATE(614341,",",ROW(BCLCTTRGT_06613!E75),"|",COLUMN(BCLCTTRGT_06613!E75),",0",",0")</f>
        <v>614341,75|5,0,0</v>
      </c>
    </row>
    <row r="76" spans="1:5" x14ac:dyDescent="0.25">
      <c r="A76" t="str">
        <f>CONCATENATE(614404,",",ROW(BCLCTTRGT_06613!A76),"|",COLUMN(BCLCTTRGT_06613!A76),",0",",0")</f>
        <v>614404,76|1,0,0</v>
      </c>
      <c r="B76" t="str">
        <f>CONCATENATE(614608,",",ROW(BCLCTTRGT_06613!B76),"|",COLUMN(BCLCTTRGT_06613!B76),",0",",0")</f>
        <v>614608,76|2,0,0</v>
      </c>
      <c r="C76" t="str">
        <f>CONCATENATE(614432,",",ROW(BCLCTTRGT_06613!C76),"|",COLUMN(BCLCTTRGT_06613!C76),",0",",0")</f>
        <v>614432,76|3,0,0</v>
      </c>
      <c r="D76" t="str">
        <f>CONCATENATE(614535,",",ROW(BCLCTTRGT_06613!D76),"|",COLUMN(BCLCTTRGT_06613!D76),",0",",0")</f>
        <v>614535,76|4,0,0</v>
      </c>
      <c r="E76" t="str">
        <f>CONCATENATE(614343,",",ROW(BCLCTTRGT_06613!E76),"|",COLUMN(BCLCTTRGT_06613!E76),",0",",0")</f>
        <v>614343,76|5,0,0</v>
      </c>
    </row>
    <row r="77" spans="1:5" x14ac:dyDescent="0.25">
      <c r="A77" t="str">
        <f>CONCATENATE(614487,",",ROW(BCLCTTRGT_06613!A77),"|",COLUMN(BCLCTTRGT_06613!A77),",0",",0")</f>
        <v>614487,77|1,0,0</v>
      </c>
      <c r="B77" t="str">
        <f>CONCATENATE(614483,",",ROW(BCLCTTRGT_06613!B77),"|",COLUMN(BCLCTTRGT_06613!B77),",0",",0")</f>
        <v>614483,77|2,0,0</v>
      </c>
      <c r="C77" t="str">
        <f>CONCATENATE(614433,",",ROW(BCLCTTRGT_06613!C77),"|",COLUMN(BCLCTTRGT_06613!C77),",0",",0")</f>
        <v>614433,77|3,0,0</v>
      </c>
      <c r="D77" t="str">
        <f>CONCATENATE(614536,",",ROW(BCLCTTRGT_06613!D77),"|",COLUMN(BCLCTTRGT_06613!D77),",0",",0")</f>
        <v>614536,77|4,0,0</v>
      </c>
      <c r="E77" t="str">
        <f>CONCATENATE(614344,",",ROW(BCLCTTRGT_06613!E77),"|",COLUMN(BCLCTTRGT_06613!E77),",0",",0")</f>
        <v>614344,77|5,0,0</v>
      </c>
    </row>
    <row r="78" spans="1:5" x14ac:dyDescent="0.25">
      <c r="A78" t="str">
        <f>CONCATENATE(614454,",",ROW(BCLCTTRGT_06613!A78),"|",COLUMN(BCLCTTRGT_06613!A78),",0",",0")</f>
        <v>614454,78|1,0,0</v>
      </c>
      <c r="B78" t="str">
        <f>CONCATENATE(614482,",",ROW(BCLCTTRGT_06613!B78),"|",COLUMN(BCLCTTRGT_06613!B78),",0",",0")</f>
        <v>614482,78|2,0,0</v>
      </c>
      <c r="C78" t="str">
        <f>CONCATENATE(614431,",",ROW(BCLCTTRGT_06613!C78),"|",COLUMN(BCLCTTRGT_06613!C78),",0",",0")</f>
        <v>614431,78|3,0,0</v>
      </c>
      <c r="D78" t="str">
        <f>CONCATENATE(614534,",",ROW(BCLCTTRGT_06613!D78),"|",COLUMN(BCLCTTRGT_06613!D78),",0",",0")</f>
        <v>614534,78|4,0,0</v>
      </c>
      <c r="E78" t="str">
        <f>CONCATENATE(614342,",",ROW(BCLCTTRGT_06613!E78),"|",COLUMN(BCLCTTRGT_06613!E78),",0",",0")</f>
        <v>614342,78|5,0,0</v>
      </c>
    </row>
    <row r="79" spans="1:5" x14ac:dyDescent="0.25">
      <c r="A79" t="str">
        <f>CONCATENATE(614628,",",ROW(BCLCTTRGT_06613!A79),"|",COLUMN(BCLCTTRGT_06613!A79),",0",",0")</f>
        <v>614628,79|1,0,0</v>
      </c>
      <c r="B79" t="str">
        <f>CONCATENATE(614500,",",ROW(BCLCTTRGT_06613!B79),"|",COLUMN(BCLCTTRGT_06613!B79),",0",",0")</f>
        <v>614500,79|2,0,0</v>
      </c>
      <c r="C79" t="str">
        <f>CONCATENATE(614312,",",ROW(BCLCTTRGT_06613!C79),"|",COLUMN(BCLCTTRGT_06613!C79),",0",",0")</f>
        <v>614312,79|3,0,0</v>
      </c>
      <c r="D79" t="str">
        <f>CONCATENATE(614565,",",ROW(BCLCTTRGT_06613!D79),"|",COLUMN(BCLCTTRGT_06613!D79),",0",",0")</f>
        <v>614565,79|4,0,0</v>
      </c>
      <c r="E79" t="str">
        <f>CONCATENATE(614374,",",ROW(BCLCTTRGT_06613!E79),"|",COLUMN(BCLCTTRGT_06613!E79),",0",",0")</f>
        <v>614374,79|5,0,0</v>
      </c>
    </row>
    <row r="80" spans="1:5" x14ac:dyDescent="0.25">
      <c r="A80" t="str">
        <f>CONCATENATE(614376,",",ROW(BCLCTTRGT_06613!A80),"|",COLUMN(BCLCTTRGT_06613!A80),",0",",0")</f>
        <v>614376,80|1,0,0</v>
      </c>
      <c r="B80" t="str">
        <f>CONCATENATE(614377,",",ROW(BCLCTTRGT_06613!B80),"|",COLUMN(BCLCTTRGT_06613!B80),",0",",0")</f>
        <v>614377,80|2,0,0</v>
      </c>
      <c r="C80" t="str">
        <f>CONCATENATE(614313,",",ROW(BCLCTTRGT_06613!C80),"|",COLUMN(BCLCTTRGT_06613!C80),",0",",0")</f>
        <v>614313,80|3,0,0</v>
      </c>
      <c r="D80" t="str">
        <f>CONCATENATE(614566,",",ROW(BCLCTTRGT_06613!D80),"|",COLUMN(BCLCTTRGT_06613!D80),",0",",0")</f>
        <v>614566,80|4,0,0</v>
      </c>
      <c r="E80" t="str">
        <f>CONCATENATE(614375,",",ROW(BCLCTTRGT_06613!E80),"|",COLUMN(BCLCTTRGT_06613!E80),",0",",0")</f>
        <v>614375,80|5,0,0</v>
      </c>
    </row>
  </sheetData>
  <sheetProtection password="CB7D"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E7" sqref="E7"/>
    </sheetView>
  </sheetViews>
  <sheetFormatPr defaultRowHeight="15" x14ac:dyDescent="0.25"/>
  <cols>
    <col min="1" max="1" width="31.28515625" bestFit="1" customWidth="1"/>
    <col min="2" max="2" width="11" customWidth="1"/>
    <col min="3" max="3" width="8.42578125" customWidth="1"/>
    <col min="4" max="5" width="26.140625" style="2205" bestFit="1" customWidth="1"/>
  </cols>
  <sheetData>
    <row r="1" spans="1:5" ht="20.25" x14ac:dyDescent="0.3">
      <c r="A1" s="2222" t="s">
        <v>20</v>
      </c>
      <c r="B1" s="2222" t="s">
        <v>5</v>
      </c>
      <c r="C1" s="2222" t="s">
        <v>5</v>
      </c>
      <c r="D1" s="2222" t="s">
        <v>5</v>
      </c>
      <c r="E1" s="2222" t="s">
        <v>5</v>
      </c>
    </row>
    <row r="2" spans="1:5" ht="56.25" x14ac:dyDescent="0.25">
      <c r="A2" s="1483" t="s">
        <v>383</v>
      </c>
      <c r="B2" s="1483" t="s">
        <v>32</v>
      </c>
      <c r="C2" s="1483" t="s">
        <v>33</v>
      </c>
      <c r="D2" s="2128" t="s">
        <v>384</v>
      </c>
      <c r="E2" s="2128" t="s">
        <v>385</v>
      </c>
    </row>
    <row r="3" spans="1:5" ht="16.5" x14ac:dyDescent="0.25">
      <c r="A3" s="1547" t="s">
        <v>40</v>
      </c>
      <c r="B3" s="1542" t="s">
        <v>113</v>
      </c>
      <c r="C3" s="1533" t="s">
        <v>80</v>
      </c>
      <c r="D3" s="2129" t="s">
        <v>222</v>
      </c>
      <c r="E3" s="2130" t="s">
        <v>81</v>
      </c>
    </row>
    <row r="4" spans="1:5" ht="66" x14ac:dyDescent="0.25">
      <c r="A4" s="1548" t="s">
        <v>585</v>
      </c>
      <c r="B4" s="1482" t="s">
        <v>5</v>
      </c>
      <c r="C4" s="1574"/>
      <c r="D4" s="2131" t="s">
        <v>5</v>
      </c>
      <c r="E4" s="2132" t="s">
        <v>5</v>
      </c>
    </row>
    <row r="5" spans="1:5" ht="49.5" x14ac:dyDescent="0.25">
      <c r="A5" s="1537" t="s">
        <v>595</v>
      </c>
      <c r="B5" s="1491" t="s">
        <v>222</v>
      </c>
      <c r="C5" s="1567"/>
      <c r="D5" s="2133"/>
      <c r="E5" s="2134"/>
    </row>
    <row r="6" spans="1:5" ht="49.5" x14ac:dyDescent="0.25">
      <c r="A6" s="1501" t="s">
        <v>569</v>
      </c>
      <c r="B6" s="1532" t="s">
        <v>81</v>
      </c>
      <c r="C6" s="1591"/>
      <c r="D6" s="2135"/>
      <c r="E6" s="2136"/>
    </row>
    <row r="7" spans="1:5" ht="49.5" x14ac:dyDescent="0.25">
      <c r="A7" s="1502" t="s">
        <v>567</v>
      </c>
      <c r="B7" s="1534" t="s">
        <v>377</v>
      </c>
      <c r="C7" s="1592"/>
      <c r="D7" s="2137"/>
      <c r="E7" s="2138"/>
    </row>
    <row r="8" spans="1:5" ht="49.5" x14ac:dyDescent="0.25">
      <c r="A8" s="1503" t="s">
        <v>701</v>
      </c>
      <c r="B8" s="1514" t="s">
        <v>378</v>
      </c>
      <c r="C8" s="1505"/>
      <c r="D8" s="2139"/>
      <c r="E8" s="2140"/>
    </row>
    <row r="9" spans="1:5" ht="49.5" x14ac:dyDescent="0.25">
      <c r="A9" s="1504" t="s">
        <v>596</v>
      </c>
      <c r="B9" s="1558" t="s">
        <v>325</v>
      </c>
      <c r="C9" s="1563"/>
      <c r="D9" s="2141"/>
      <c r="E9" s="2142"/>
    </row>
    <row r="10" spans="1:5" ht="49.5" x14ac:dyDescent="0.25">
      <c r="A10" s="1506" t="s">
        <v>583</v>
      </c>
      <c r="B10" s="1559" t="s">
        <v>381</v>
      </c>
      <c r="C10" s="1564"/>
      <c r="D10" s="2143"/>
      <c r="E10" s="2144"/>
    </row>
    <row r="11" spans="1:5" ht="66" x14ac:dyDescent="0.25">
      <c r="A11" s="1509" t="s">
        <v>586</v>
      </c>
      <c r="B11" s="1515" t="s">
        <v>382</v>
      </c>
      <c r="C11" s="1570"/>
      <c r="D11" s="2145"/>
      <c r="E11" s="2146"/>
    </row>
    <row r="12" spans="1:5" ht="49.5" x14ac:dyDescent="0.25">
      <c r="A12" s="1507" t="s">
        <v>702</v>
      </c>
      <c r="B12" s="1560" t="s">
        <v>326</v>
      </c>
      <c r="C12" s="1565"/>
      <c r="D12" s="2147"/>
      <c r="E12" s="2148"/>
    </row>
    <row r="13" spans="1:5" ht="66" x14ac:dyDescent="0.25">
      <c r="A13" s="1544" t="s">
        <v>707</v>
      </c>
      <c r="B13" s="1516" t="s">
        <v>315</v>
      </c>
      <c r="C13" s="1595"/>
      <c r="D13" s="2149"/>
      <c r="E13" s="2150"/>
    </row>
    <row r="14" spans="1:5" ht="49.5" x14ac:dyDescent="0.25">
      <c r="A14" s="1485" t="s">
        <v>696</v>
      </c>
      <c r="B14" s="1517" t="s">
        <v>379</v>
      </c>
      <c r="C14" s="1571"/>
      <c r="D14" s="2151"/>
      <c r="E14" s="2152"/>
    </row>
    <row r="15" spans="1:5" ht="49.5" x14ac:dyDescent="0.25">
      <c r="A15" s="1508" t="s">
        <v>703</v>
      </c>
      <c r="B15" s="1561" t="s">
        <v>296</v>
      </c>
      <c r="C15" s="1566"/>
      <c r="D15" s="2153"/>
      <c r="E15" s="2154"/>
    </row>
    <row r="16" spans="1:5" ht="49.5" x14ac:dyDescent="0.25">
      <c r="A16" s="1486" t="s">
        <v>697</v>
      </c>
      <c r="B16" s="1497" t="s">
        <v>327</v>
      </c>
      <c r="C16" s="1562"/>
      <c r="D16" s="2155"/>
      <c r="E16" s="2156"/>
    </row>
    <row r="17" spans="1:5" ht="49.5" x14ac:dyDescent="0.25">
      <c r="A17" s="1487" t="s">
        <v>698</v>
      </c>
      <c r="B17" s="1524" t="s">
        <v>328</v>
      </c>
      <c r="C17" s="1573"/>
      <c r="D17" s="2157"/>
      <c r="E17" s="2158"/>
    </row>
    <row r="18" spans="1:5" ht="49.5" x14ac:dyDescent="0.25">
      <c r="A18" s="1540" t="s">
        <v>706</v>
      </c>
      <c r="B18" s="1535" t="s">
        <v>616</v>
      </c>
      <c r="C18" s="1593"/>
      <c r="D18" s="2159"/>
      <c r="E18" s="2160"/>
    </row>
    <row r="19" spans="1:5" ht="49.5" x14ac:dyDescent="0.25">
      <c r="A19" s="1510" t="s">
        <v>704</v>
      </c>
      <c r="B19" s="1536" t="s">
        <v>679</v>
      </c>
      <c r="C19" s="1594"/>
      <c r="D19" s="2161"/>
      <c r="E19" s="2162"/>
    </row>
    <row r="20" spans="1:5" ht="51.75" x14ac:dyDescent="0.25">
      <c r="A20" s="1549" t="s">
        <v>708</v>
      </c>
      <c r="B20" s="1529" t="s">
        <v>524</v>
      </c>
      <c r="C20" s="1588"/>
      <c r="D20" s="2163"/>
      <c r="E20" s="2164"/>
    </row>
    <row r="21" spans="1:5" ht="66" x14ac:dyDescent="0.25">
      <c r="A21" s="1550" t="s">
        <v>571</v>
      </c>
      <c r="B21" s="1518" t="s">
        <v>511</v>
      </c>
      <c r="C21" s="1572"/>
      <c r="D21" s="2165"/>
      <c r="E21" s="2166"/>
    </row>
    <row r="22" spans="1:5" ht="33" x14ac:dyDescent="0.25">
      <c r="A22" s="1551" t="s">
        <v>572</v>
      </c>
      <c r="B22" s="1498" t="s">
        <v>512</v>
      </c>
      <c r="C22" s="1492"/>
      <c r="D22" s="2167"/>
      <c r="E22" s="2168"/>
    </row>
    <row r="23" spans="1:5" ht="66" x14ac:dyDescent="0.25">
      <c r="A23" s="1552" t="s">
        <v>573</v>
      </c>
      <c r="B23" s="1499" t="s">
        <v>525</v>
      </c>
      <c r="C23" s="1493"/>
      <c r="D23" s="2169"/>
      <c r="E23" s="2170"/>
    </row>
    <row r="24" spans="1:5" ht="33" x14ac:dyDescent="0.25">
      <c r="A24" s="1543" t="s">
        <v>574</v>
      </c>
      <c r="B24" s="1530" t="s">
        <v>525</v>
      </c>
      <c r="C24" s="1589"/>
      <c r="D24" s="2171"/>
      <c r="E24" s="2172"/>
    </row>
    <row r="25" spans="1:5" ht="49.5" x14ac:dyDescent="0.25">
      <c r="A25" s="1511" t="s">
        <v>579</v>
      </c>
      <c r="B25" s="1519" t="s">
        <v>522</v>
      </c>
      <c r="C25" s="1568"/>
      <c r="D25" s="2173"/>
      <c r="E25" s="2174"/>
    </row>
    <row r="26" spans="1:5" ht="49.5" x14ac:dyDescent="0.25">
      <c r="A26" s="1488" t="s">
        <v>578</v>
      </c>
      <c r="B26" s="1500" t="s">
        <v>580</v>
      </c>
      <c r="C26" s="1484"/>
      <c r="D26" s="2175"/>
      <c r="E26" s="2176"/>
    </row>
    <row r="27" spans="1:5" ht="49.5" x14ac:dyDescent="0.25">
      <c r="A27" s="1531" t="s">
        <v>705</v>
      </c>
      <c r="B27" s="1525" t="s">
        <v>576</v>
      </c>
      <c r="C27" s="1590"/>
      <c r="D27" s="2177"/>
      <c r="E27" s="2178"/>
    </row>
    <row r="28" spans="1:5" ht="33" x14ac:dyDescent="0.25">
      <c r="A28" s="1545" t="s">
        <v>574</v>
      </c>
      <c r="B28" s="1528" t="s">
        <v>576</v>
      </c>
      <c r="C28" s="1587"/>
      <c r="D28" s="2179"/>
      <c r="E28" s="2180"/>
    </row>
    <row r="29" spans="1:5" ht="33" x14ac:dyDescent="0.25">
      <c r="A29" s="1512" t="s">
        <v>532</v>
      </c>
      <c r="B29" s="1520" t="s">
        <v>598</v>
      </c>
      <c r="C29" s="1569"/>
      <c r="D29" s="2181"/>
      <c r="E29" s="2182"/>
    </row>
    <row r="30" spans="1:5" ht="49.5" x14ac:dyDescent="0.25">
      <c r="A30" s="1494" t="s">
        <v>510</v>
      </c>
      <c r="B30" s="1521" t="s">
        <v>599</v>
      </c>
      <c r="C30" s="1596"/>
      <c r="D30" s="2183"/>
      <c r="E30" s="2184"/>
    </row>
    <row r="31" spans="1:5" ht="66" x14ac:dyDescent="0.25">
      <c r="A31" s="1495" t="s">
        <v>700</v>
      </c>
      <c r="B31" s="1538" t="s">
        <v>600</v>
      </c>
      <c r="C31" s="1577"/>
      <c r="D31" s="2185"/>
      <c r="E31" s="2186"/>
    </row>
    <row r="32" spans="1:5" ht="33" x14ac:dyDescent="0.25">
      <c r="A32" s="1513" t="s">
        <v>593</v>
      </c>
      <c r="B32" s="1522" t="s">
        <v>594</v>
      </c>
      <c r="C32" s="1578"/>
      <c r="D32" s="2187"/>
      <c r="E32" s="2188"/>
    </row>
    <row r="33" spans="1:5" ht="66" x14ac:dyDescent="0.25">
      <c r="A33" s="1553" t="s">
        <v>573</v>
      </c>
      <c r="B33" s="1526" t="s">
        <v>601</v>
      </c>
      <c r="C33" s="1579"/>
      <c r="D33" s="2189"/>
      <c r="E33" s="2190"/>
    </row>
    <row r="34" spans="1:5" ht="33" x14ac:dyDescent="0.25">
      <c r="A34" s="1496" t="s">
        <v>574</v>
      </c>
      <c r="B34" s="1539" t="s">
        <v>601</v>
      </c>
      <c r="C34" s="1580"/>
      <c r="D34" s="2191"/>
      <c r="E34" s="2192"/>
    </row>
    <row r="35" spans="1:5" ht="49.5" x14ac:dyDescent="0.25">
      <c r="A35" s="1554" t="s">
        <v>579</v>
      </c>
      <c r="B35" s="1527" t="s">
        <v>587</v>
      </c>
      <c r="C35" s="1581"/>
      <c r="D35" s="2193"/>
      <c r="E35" s="2194"/>
    </row>
    <row r="36" spans="1:5" ht="49.5" x14ac:dyDescent="0.25">
      <c r="A36" s="1555" t="s">
        <v>578</v>
      </c>
      <c r="B36" s="1523" t="s">
        <v>577</v>
      </c>
      <c r="C36" s="1582"/>
      <c r="D36" s="2195"/>
      <c r="E36" s="2196"/>
    </row>
    <row r="37" spans="1:5" ht="49.5" x14ac:dyDescent="0.25">
      <c r="A37" s="1489" t="s">
        <v>699</v>
      </c>
      <c r="B37" s="1575" t="s">
        <v>566</v>
      </c>
      <c r="C37" s="1583"/>
      <c r="D37" s="2197"/>
      <c r="E37" s="2198"/>
    </row>
    <row r="38" spans="1:5" ht="33" x14ac:dyDescent="0.25">
      <c r="A38" s="1490" t="s">
        <v>574</v>
      </c>
      <c r="B38" s="1546" t="s">
        <v>566</v>
      </c>
      <c r="C38" s="1584"/>
      <c r="D38" s="2199"/>
      <c r="E38" s="2200"/>
    </row>
    <row r="39" spans="1:5" ht="33" x14ac:dyDescent="0.25">
      <c r="A39" s="1556" t="s">
        <v>532</v>
      </c>
      <c r="B39" s="1576" t="s">
        <v>588</v>
      </c>
      <c r="C39" s="1585"/>
      <c r="D39" s="2201"/>
      <c r="E39" s="2202"/>
    </row>
    <row r="40" spans="1:5" ht="49.5" x14ac:dyDescent="0.25">
      <c r="A40" s="1557" t="s">
        <v>676</v>
      </c>
      <c r="B40" s="1541" t="s">
        <v>581</v>
      </c>
      <c r="C40" s="1586"/>
      <c r="D40" s="2203"/>
      <c r="E40" s="2204"/>
    </row>
  </sheetData>
  <mergeCells count="1">
    <mergeCell ref="A1:E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0"/>
  <sheetViews>
    <sheetView workbookViewId="0"/>
  </sheetViews>
  <sheetFormatPr defaultRowHeight="15" x14ac:dyDescent="0.25"/>
  <cols>
    <col min="1" max="1" width="1" style="1597" bestFit="1" customWidth="1"/>
    <col min="2" max="5" width="1" bestFit="1" customWidth="1"/>
  </cols>
  <sheetData>
    <row r="3" spans="1:5" x14ac:dyDescent="0.25">
      <c r="A3" t="str">
        <f>CONCATENATE(613508,",",ROW(PLCTTHDMGUTCKHGT_06614!A3),"|",COLUMN(PLCTTHDMGUTCKHGT_06614!A3),",0",",0")</f>
        <v>613508,3|1,0,0</v>
      </c>
      <c r="B3" t="str">
        <f>CONCATENATE(613502,",",ROW(PLCTTHDMGUTCKHGT_06614!B3),"|",COLUMN(PLCTTHDMGUTCKHGT_06614!B3),",0",",0")</f>
        <v>613502,3|2,0,0</v>
      </c>
      <c r="C3" t="str">
        <f>CONCATENATE(613492,",",ROW(PLCTTHDMGUTCKHGT_06614!C3),"|",COLUMN(PLCTTHDMGUTCKHGT_06614!C3),",0",",0")</f>
        <v>613492,3|3,0,0</v>
      </c>
      <c r="D3" t="str">
        <f>CONCATENATE(613494,",",ROW(PLCTTHDMGUTCKHGT_06614!D3),"|",COLUMN(PLCTTHDMGUTCKHGT_06614!D3),",0",",0")</f>
        <v>613494,3|4,0,0</v>
      </c>
      <c r="E3" t="str">
        <f>CONCATENATE(613504,",",ROW(PLCTTHDMGUTCKHGT_06614!E3),"|",COLUMN(PLCTTHDMGUTCKHGT_06614!E3),",0",",0")</f>
        <v>613504,3|5,0,0</v>
      </c>
    </row>
    <row r="4" spans="1:5" x14ac:dyDescent="0.25">
      <c r="A4" t="str">
        <f>CONCATENATE(613509,",",ROW(PLCTTHDMGUTCKHGT_06614!A4),"|",COLUMN(PLCTTHDMGUTCKHGT_06614!A4),",0",",0")</f>
        <v>613509,4|1,0,0</v>
      </c>
      <c r="B4" t="s">
        <v>5</v>
      </c>
      <c r="C4" t="str">
        <f>CONCATENATE(613535,",",ROW(PLCTTHDMGUTCKHGT_06614!C4),"|",COLUMN(PLCTTHDMGUTCKHGT_06614!C4),",0",",0")</f>
        <v>613535,4|3,0,0</v>
      </c>
      <c r="D4" t="str">
        <f>CONCATENATE(613382,",",ROW(PLCTTHDMGUTCKHGT_06614!D4),"|",COLUMN(PLCTTHDMGUTCKHGT_06614!D4),",0",",0")</f>
        <v>613382,4|4,0,0</v>
      </c>
      <c r="E4" t="str">
        <f>CONCATENATE(613402,",",ROW(PLCTTHDMGUTCKHGT_06614!E4),"|",COLUMN(PLCTTHDMGUTCKHGT_06614!E4),",0",",0")</f>
        <v>613402,4|5,0,0</v>
      </c>
    </row>
    <row r="5" spans="1:5" x14ac:dyDescent="0.25">
      <c r="A5" t="str">
        <f>CONCATENATE(613497,",",ROW(PLCTTHDMGUTCKHGT_06614!A5),"|",COLUMN(PLCTTHDMGUTCKHGT_06614!A5),",0",",0")</f>
        <v>613497,5|1,0,0</v>
      </c>
      <c r="B5" t="str">
        <f>CONCATENATE(613411,",",ROW(PLCTTHDMGUTCKHGT_06614!B5),"|",COLUMN(PLCTTHDMGUTCKHGT_06614!B5),",0",",0")</f>
        <v>613411,5|2,0,0</v>
      </c>
      <c r="C5" t="str">
        <f>CONCATENATE(613528,",",ROW(PLCTTHDMGUTCKHGT_06614!C5),"|",COLUMN(PLCTTHDMGUTCKHGT_06614!C5),",0",",0")</f>
        <v>613528,5|3,0,0</v>
      </c>
      <c r="D5" t="str">
        <f>CONCATENATE(613448,",",ROW(PLCTTHDMGUTCKHGT_06614!D5),"|",COLUMN(PLCTTHDMGUTCKHGT_06614!D5),",0",",0")</f>
        <v>613448,5|4,0,0</v>
      </c>
      <c r="E5" t="str">
        <f>CONCATENATE(613394,",",ROW(PLCTTHDMGUTCKHGT_06614!E5),"|",COLUMN(PLCTTHDMGUTCKHGT_06614!E5),",0",",0")</f>
        <v>613394,5|5,0,0</v>
      </c>
    </row>
    <row r="6" spans="1:5" x14ac:dyDescent="0.25">
      <c r="A6" t="str">
        <f>CONCATENATE(613460,",",ROW(PLCTTHDMGUTCKHGT_06614!A6),"|",COLUMN(PLCTTHDMGUTCKHGT_06614!A6),",0",",0")</f>
        <v>613460,6|1,0,0</v>
      </c>
      <c r="B6" t="str">
        <f>CONCATENATE(613491,",",ROW(PLCTTHDMGUTCKHGT_06614!B6),"|",COLUMN(PLCTTHDMGUTCKHGT_06614!B6),",0",",0")</f>
        <v>613491,6|2,0,0</v>
      </c>
      <c r="C6" t="str">
        <f>CONCATENATE(613564,",",ROW(PLCTTHDMGUTCKHGT_06614!C6),"|",COLUMN(PLCTTHDMGUTCKHGT_06614!C6),",0",",0")</f>
        <v>613564,6|3,0,0</v>
      </c>
      <c r="D6" t="str">
        <f>CONCATENATE(613434,",",ROW(PLCTTHDMGUTCKHGT_06614!D6),"|",COLUMN(PLCTTHDMGUTCKHGT_06614!D6),",0",",0")</f>
        <v>613434,6|4,0,0</v>
      </c>
      <c r="E6" t="str">
        <f>CONCATENATE(613416,",",ROW(PLCTTHDMGUTCKHGT_06614!E6),"|",COLUMN(PLCTTHDMGUTCKHGT_06614!E6),",0",",0")</f>
        <v>613416,6|5,0,0</v>
      </c>
    </row>
    <row r="7" spans="1:5" x14ac:dyDescent="0.25">
      <c r="A7" t="str">
        <f>CONCATENATE(613461,",",ROW(PLCTTHDMGUTCKHGT_06614!A7),"|",COLUMN(PLCTTHDMGUTCKHGT_06614!A7),",0",",0")</f>
        <v>613461,7|1,0,0</v>
      </c>
      <c r="B7" t="str">
        <f>CONCATENATE(613493,",",ROW(PLCTTHDMGUTCKHGT_06614!B7),"|",COLUMN(PLCTTHDMGUTCKHGT_06614!B7),",0",",0")</f>
        <v>613493,7|2,0,0</v>
      </c>
      <c r="C7" t="str">
        <f>CONCATENATE(613565,",",ROW(PLCTTHDMGUTCKHGT_06614!C7),"|",COLUMN(PLCTTHDMGUTCKHGT_06614!C7),",0",",0")</f>
        <v>613565,7|3,0,0</v>
      </c>
      <c r="D7" t="str">
        <f>CONCATENATE(613435,",",ROW(PLCTTHDMGUTCKHGT_06614!D7),"|",COLUMN(PLCTTHDMGUTCKHGT_06614!D7),",0",",0")</f>
        <v>613435,7|4,0,0</v>
      </c>
      <c r="E7" t="str">
        <f>CONCATENATE(613417,",",ROW(PLCTTHDMGUTCKHGT_06614!E7),"|",COLUMN(PLCTTHDMGUTCKHGT_06614!E7),",0",",0")</f>
        <v>613417,7|5,0,0</v>
      </c>
    </row>
    <row r="8" spans="1:5" x14ac:dyDescent="0.25">
      <c r="A8" t="str">
        <f>CONCATENATE(613462,",",ROW(PLCTTHDMGUTCKHGT_06614!A8),"|",COLUMN(PLCTTHDMGUTCKHGT_06614!A8),",0",",0")</f>
        <v>613462,8|1,0,0</v>
      </c>
      <c r="B8" t="str">
        <f>CONCATENATE(613473,",",ROW(PLCTTHDMGUTCKHGT_06614!B8),"|",COLUMN(PLCTTHDMGUTCKHGT_06614!B8),",0",",0")</f>
        <v>613473,8|2,0,0</v>
      </c>
      <c r="C8" t="str">
        <f>CONCATENATE(613464,",",ROW(PLCTTHDMGUTCKHGT_06614!C8),"|",COLUMN(PLCTTHDMGUTCKHGT_06614!C8),",0",",0")</f>
        <v>613464,8|3,0,0</v>
      </c>
      <c r="D8" t="str">
        <f>CONCATENATE(613443,",",ROW(PLCTTHDMGUTCKHGT_06614!D8),"|",COLUMN(PLCTTHDMGUTCKHGT_06614!D8),",0",",0")</f>
        <v>613443,8|4,0,0</v>
      </c>
      <c r="E8" t="str">
        <f>CONCATENATE(613389,",",ROW(PLCTTHDMGUTCKHGT_06614!E8),"|",COLUMN(PLCTTHDMGUTCKHGT_06614!E8),",0",",0")</f>
        <v>613389,8|5,0,0</v>
      </c>
    </row>
    <row r="9" spans="1:5" x14ac:dyDescent="0.25">
      <c r="A9" t="str">
        <f>CONCATENATE(613463,",",ROW(PLCTTHDMGUTCKHGT_06614!A9),"|",COLUMN(PLCTTHDMGUTCKHGT_06614!A9),",0",",0")</f>
        <v>613463,9|1,0,0</v>
      </c>
      <c r="B9" t="str">
        <f>CONCATENATE(613519,",",ROW(PLCTTHDMGUTCKHGT_06614!B9),"|",COLUMN(PLCTTHDMGUTCKHGT_06614!B9),",0",",0")</f>
        <v>613519,9|2,0,0</v>
      </c>
      <c r="C9" t="str">
        <f>CONCATENATE(613524,",",ROW(PLCTTHDMGUTCKHGT_06614!C9),"|",COLUMN(PLCTTHDMGUTCKHGT_06614!C9),",0",",0")</f>
        <v>613524,9|3,0,0</v>
      </c>
      <c r="D9" t="str">
        <f>CONCATENATE(613444,",",ROW(PLCTTHDMGUTCKHGT_06614!D9),"|",COLUMN(PLCTTHDMGUTCKHGT_06614!D9),",0",",0")</f>
        <v>613444,9|4,0,0</v>
      </c>
      <c r="E9" t="str">
        <f>CONCATENATE(613390,",",ROW(PLCTTHDMGUTCKHGT_06614!E9),"|",COLUMN(PLCTTHDMGUTCKHGT_06614!E9),",0",",0")</f>
        <v>613390,9|5,0,0</v>
      </c>
    </row>
    <row r="10" spans="1:5" x14ac:dyDescent="0.25">
      <c r="A10" t="str">
        <f>CONCATENATE(613465,",",ROW(PLCTTHDMGUTCKHGT_06614!A10),"|",COLUMN(PLCTTHDMGUTCKHGT_06614!A10),",0",",0")</f>
        <v>613465,10|1,0,0</v>
      </c>
      <c r="B10" t="str">
        <f>CONCATENATE(613520,",",ROW(PLCTTHDMGUTCKHGT_06614!B10),"|",COLUMN(PLCTTHDMGUTCKHGT_06614!B10),",0",",0")</f>
        <v>613520,10|2,0,0</v>
      </c>
      <c r="C10" t="str">
        <f>CONCATENATE(613525,",",ROW(PLCTTHDMGUTCKHGT_06614!C10),"|",COLUMN(PLCTTHDMGUTCKHGT_06614!C10),",0",",0")</f>
        <v>613525,10|3,0,0</v>
      </c>
      <c r="D10" t="str">
        <f>CONCATENATE(613445,",",ROW(PLCTTHDMGUTCKHGT_06614!D10),"|",COLUMN(PLCTTHDMGUTCKHGT_06614!D10),",0",",0")</f>
        <v>613445,10|4,0,0</v>
      </c>
      <c r="E10" t="str">
        <f>CONCATENATE(613391,",",ROW(PLCTTHDMGUTCKHGT_06614!E10),"|",COLUMN(PLCTTHDMGUTCKHGT_06614!E10),",0",",0")</f>
        <v>613391,10|5,0,0</v>
      </c>
    </row>
    <row r="11" spans="1:5" x14ac:dyDescent="0.25">
      <c r="A11" t="str">
        <f>CONCATENATE(613468,",",ROW(PLCTTHDMGUTCKHGT_06614!A11),"|",COLUMN(PLCTTHDMGUTCKHGT_06614!A11),",0",",0")</f>
        <v>613468,11|1,0,0</v>
      </c>
      <c r="B11" t="str">
        <f>CONCATENATE(613474,",",ROW(PLCTTHDMGUTCKHGT_06614!B11),"|",COLUMN(PLCTTHDMGUTCKHGT_06614!B11),",0",",0")</f>
        <v>613474,11|2,0,0</v>
      </c>
      <c r="C11" t="str">
        <f>CONCATENATE(613531,",",ROW(PLCTTHDMGUTCKHGT_06614!C11),"|",COLUMN(PLCTTHDMGUTCKHGT_06614!C11),",0",",0")</f>
        <v>613531,11|3,0,0</v>
      </c>
      <c r="D11" t="str">
        <f>CONCATENATE(613451,",",ROW(PLCTTHDMGUTCKHGT_06614!D11),"|",COLUMN(PLCTTHDMGUTCKHGT_06614!D11),",0",",0")</f>
        <v>613451,11|4,0,0</v>
      </c>
      <c r="E11" t="str">
        <f>CONCATENATE(613398,",",ROW(PLCTTHDMGUTCKHGT_06614!E11),"|",COLUMN(PLCTTHDMGUTCKHGT_06614!E11),",0",",0")</f>
        <v>613398,11|5,0,0</v>
      </c>
    </row>
    <row r="12" spans="1:5" x14ac:dyDescent="0.25">
      <c r="A12" t="str">
        <f>CONCATENATE(613466,",",ROW(PLCTTHDMGUTCKHGT_06614!A12),"|",COLUMN(PLCTTHDMGUTCKHGT_06614!A12),",0",",0")</f>
        <v>613466,12|1,0,0</v>
      </c>
      <c r="B12" t="str">
        <f>CONCATENATE(613521,",",ROW(PLCTTHDMGUTCKHGT_06614!B12),"|",COLUMN(PLCTTHDMGUTCKHGT_06614!B12),",0",",0")</f>
        <v>613521,12|2,0,0</v>
      </c>
      <c r="C12" t="str">
        <f>CONCATENATE(613526,",",ROW(PLCTTHDMGUTCKHGT_06614!C12),"|",COLUMN(PLCTTHDMGUTCKHGT_06614!C12),",0",",0")</f>
        <v>613526,12|3,0,0</v>
      </c>
      <c r="D12" t="str">
        <f>CONCATENATE(613446,",",ROW(PLCTTHDMGUTCKHGT_06614!D12),"|",COLUMN(PLCTTHDMGUTCKHGT_06614!D12),",0",",0")</f>
        <v>613446,12|4,0,0</v>
      </c>
      <c r="E12" t="str">
        <f>CONCATENATE(613392,",",ROW(PLCTTHDMGUTCKHGT_06614!E12),"|",COLUMN(PLCTTHDMGUTCKHGT_06614!E12),",0",",0")</f>
        <v>613392,12|5,0,0</v>
      </c>
    </row>
    <row r="13" spans="1:5" x14ac:dyDescent="0.25">
      <c r="A13" t="str">
        <f>CONCATENATE(613505,",",ROW(PLCTTHDMGUTCKHGT_06614!A13),"|",COLUMN(PLCTTHDMGUTCKHGT_06614!A13),",0",",0")</f>
        <v>613505,13|1,0,0</v>
      </c>
      <c r="B13" t="str">
        <f>CONCATENATE(613475,",",ROW(PLCTTHDMGUTCKHGT_06614!B13),"|",COLUMN(PLCTTHDMGUTCKHGT_06614!B13),",0",",0")</f>
        <v>613475,13|2,0,0</v>
      </c>
      <c r="C13" t="str">
        <f>CONCATENATE(613568,",",ROW(PLCTTHDMGUTCKHGT_06614!C13),"|",COLUMN(PLCTTHDMGUTCKHGT_06614!C13),",0",",0")</f>
        <v>613568,13|3,0,0</v>
      </c>
      <c r="D13" t="str">
        <f>CONCATENATE(613438,",",ROW(PLCTTHDMGUTCKHGT_06614!D13),"|",COLUMN(PLCTTHDMGUTCKHGT_06614!D13),",0",",0")</f>
        <v>613438,13|4,0,0</v>
      </c>
      <c r="E13" t="str">
        <f>CONCATENATE(613383,",",ROW(PLCTTHDMGUTCKHGT_06614!E13),"|",COLUMN(PLCTTHDMGUTCKHGT_06614!E13),",0",",0")</f>
        <v>613383,13|5,0,0</v>
      </c>
    </row>
    <row r="14" spans="1:5" x14ac:dyDescent="0.25">
      <c r="A14" t="str">
        <f>CONCATENATE(613405,",",ROW(PLCTTHDMGUTCKHGT_06614!A14),"|",COLUMN(PLCTTHDMGUTCKHGT_06614!A14),",0",",0")</f>
        <v>613405,14|1,0,0</v>
      </c>
      <c r="B14" t="str">
        <f>CONCATENATE(613476,",",ROW(PLCTTHDMGUTCKHGT_06614!B14),"|",COLUMN(PLCTTHDMGUTCKHGT_06614!B14),",0",",0")</f>
        <v>613476,14|2,0,0</v>
      </c>
      <c r="C14" t="str">
        <f>CONCATENATE(613532,",",ROW(PLCTTHDMGUTCKHGT_06614!C14),"|",COLUMN(PLCTTHDMGUTCKHGT_06614!C14),",0",",0")</f>
        <v>613532,14|3,0,0</v>
      </c>
      <c r="D14" t="str">
        <f>CONCATENATE(613452,",",ROW(PLCTTHDMGUTCKHGT_06614!D14),"|",COLUMN(PLCTTHDMGUTCKHGT_06614!D14),",0",",0")</f>
        <v>613452,14|4,0,0</v>
      </c>
      <c r="E14" t="str">
        <f>CONCATENATE(613399,",",ROW(PLCTTHDMGUTCKHGT_06614!E14),"|",COLUMN(PLCTTHDMGUTCKHGT_06614!E14),",0",",0")</f>
        <v>613399,14|5,0,0</v>
      </c>
    </row>
    <row r="15" spans="1:5" x14ac:dyDescent="0.25">
      <c r="A15" t="str">
        <f>CONCATENATE(613467,",",ROW(PLCTTHDMGUTCKHGT_06614!A15),"|",COLUMN(PLCTTHDMGUTCKHGT_06614!A15),",0",",0")</f>
        <v>613467,15|1,0,0</v>
      </c>
      <c r="B15" t="str">
        <f>CONCATENATE(613522,",",ROW(PLCTTHDMGUTCKHGT_06614!B15),"|",COLUMN(PLCTTHDMGUTCKHGT_06614!B15),",0",",0")</f>
        <v>613522,15|2,0,0</v>
      </c>
      <c r="C15" t="str">
        <f>CONCATENATE(613527,",",ROW(PLCTTHDMGUTCKHGT_06614!C15),"|",COLUMN(PLCTTHDMGUTCKHGT_06614!C15),",0",",0")</f>
        <v>613527,15|3,0,0</v>
      </c>
      <c r="D15" t="str">
        <f>CONCATENATE(613447,",",ROW(PLCTTHDMGUTCKHGT_06614!D15),"|",COLUMN(PLCTTHDMGUTCKHGT_06614!D15),",0",",0")</f>
        <v>613447,15|4,0,0</v>
      </c>
      <c r="E15" t="str">
        <f>CONCATENATE(613393,",",ROW(PLCTTHDMGUTCKHGT_06614!E15),"|",COLUMN(PLCTTHDMGUTCKHGT_06614!E15),",0",",0")</f>
        <v>613393,15|5,0,0</v>
      </c>
    </row>
    <row r="16" spans="1:5" x14ac:dyDescent="0.25">
      <c r="A16" t="str">
        <f>CONCATENATE(613406,",",ROW(PLCTTHDMGUTCKHGT_06614!A16),"|",COLUMN(PLCTTHDMGUTCKHGT_06614!A16),",0",",0")</f>
        <v>613406,16|1,0,0</v>
      </c>
      <c r="B16" t="str">
        <f>CONCATENATE(613456,",",ROW(PLCTTHDMGUTCKHGT_06614!B16),"|",COLUMN(PLCTTHDMGUTCKHGT_06614!B16),",0",",0")</f>
        <v>613456,16|2,0,0</v>
      </c>
      <c r="C16" t="str">
        <f>CONCATENATE(613523,",",ROW(PLCTTHDMGUTCKHGT_06614!C16),"|",COLUMN(PLCTTHDMGUTCKHGT_06614!C16),",0",",0")</f>
        <v>613523,16|3,0,0</v>
      </c>
      <c r="D16" t="str">
        <f>CONCATENATE(613440,",",ROW(PLCTTHDMGUTCKHGT_06614!D16),"|",COLUMN(PLCTTHDMGUTCKHGT_06614!D16),",0",",0")</f>
        <v>613440,16|4,0,0</v>
      </c>
      <c r="E16" t="str">
        <f>CONCATENATE(613385,",",ROW(PLCTTHDMGUTCKHGT_06614!E16),"|",COLUMN(PLCTTHDMGUTCKHGT_06614!E16),",0",",0")</f>
        <v>613385,16|5,0,0</v>
      </c>
    </row>
    <row r="17" spans="1:5" x14ac:dyDescent="0.25">
      <c r="A17" t="str">
        <f>CONCATENATE(613407,",",ROW(PLCTTHDMGUTCKHGT_06614!A17),"|",COLUMN(PLCTTHDMGUTCKHGT_06614!A17),",0",",0")</f>
        <v>613407,17|1,0,0</v>
      </c>
      <c r="B17" t="str">
        <f>CONCATENATE(613483,",",ROW(PLCTTHDMGUTCKHGT_06614!B17),"|",COLUMN(PLCTTHDMGUTCKHGT_06614!B17),",0",",0")</f>
        <v>613483,17|2,0,0</v>
      </c>
      <c r="C17" t="str">
        <f>CONCATENATE(613534,",",ROW(PLCTTHDMGUTCKHGT_06614!C17),"|",COLUMN(PLCTTHDMGUTCKHGT_06614!C17),",0",",0")</f>
        <v>613534,17|3,0,0</v>
      </c>
      <c r="D17" t="str">
        <f>CONCATENATE(613381,",",ROW(PLCTTHDMGUTCKHGT_06614!D17),"|",COLUMN(PLCTTHDMGUTCKHGT_06614!D17),",0",",0")</f>
        <v>613381,17|4,0,0</v>
      </c>
      <c r="E17" t="str">
        <f>CONCATENATE(613401,",",ROW(PLCTTHDMGUTCKHGT_06614!E17),"|",COLUMN(PLCTTHDMGUTCKHGT_06614!E17),",0",",0")</f>
        <v>613401,17|5,0,0</v>
      </c>
    </row>
    <row r="18" spans="1:5" x14ac:dyDescent="0.25">
      <c r="A18" t="str">
        <f>CONCATENATE(613500,",",ROW(PLCTTHDMGUTCKHGT_06614!A18),"|",COLUMN(PLCTTHDMGUTCKHGT_06614!A18),",0",",0")</f>
        <v>613500,18|1,0,0</v>
      </c>
      <c r="B18" t="str">
        <f>CONCATENATE(613495,",",ROW(PLCTTHDMGUTCKHGT_06614!B18),"|",COLUMN(PLCTTHDMGUTCKHGT_06614!B18),",0",",0")</f>
        <v>613495,18|2,0,0</v>
      </c>
      <c r="C18" t="str">
        <f>CONCATENATE(613566,",",ROW(PLCTTHDMGUTCKHGT_06614!C18),"|",COLUMN(PLCTTHDMGUTCKHGT_06614!C18),",0",",0")</f>
        <v>613566,18|3,0,0</v>
      </c>
      <c r="D18" t="str">
        <f>CONCATENATE(613436,",",ROW(PLCTTHDMGUTCKHGT_06614!D18),"|",COLUMN(PLCTTHDMGUTCKHGT_06614!D18),",0",",0")</f>
        <v>613436,18|4,0,0</v>
      </c>
      <c r="E18" t="str">
        <f>CONCATENATE(613418,",",ROW(PLCTTHDMGUTCKHGT_06614!E18),"|",COLUMN(PLCTTHDMGUTCKHGT_06614!E18),",0",",0")</f>
        <v>613418,18|5,0,0</v>
      </c>
    </row>
    <row r="19" spans="1:5" x14ac:dyDescent="0.25">
      <c r="A19" t="str">
        <f>CONCATENATE(613469,",",ROW(PLCTTHDMGUTCKHGT_06614!A19),"|",COLUMN(PLCTTHDMGUTCKHGT_06614!A19),",0",",0")</f>
        <v>613469,19|1,0,0</v>
      </c>
      <c r="B19" t="str">
        <f>CONCATENATE(613496,",",ROW(PLCTTHDMGUTCKHGT_06614!B19),"|",COLUMN(PLCTTHDMGUTCKHGT_06614!B19),",0",",0")</f>
        <v>613496,19|2,0,0</v>
      </c>
      <c r="C19" t="str">
        <f>CONCATENATE(613567,",",ROW(PLCTTHDMGUTCKHGT_06614!C19),"|",COLUMN(PLCTTHDMGUTCKHGT_06614!C19),",0",",0")</f>
        <v>613567,19|3,0,0</v>
      </c>
      <c r="D19" t="str">
        <f>CONCATENATE(613437,",",ROW(PLCTTHDMGUTCKHGT_06614!D19),"|",COLUMN(PLCTTHDMGUTCKHGT_06614!D19),",0",",0")</f>
        <v>613437,19|4,0,0</v>
      </c>
      <c r="E19" t="str">
        <f>CONCATENATE(613419,",",ROW(PLCTTHDMGUTCKHGT_06614!E19),"|",COLUMN(PLCTTHDMGUTCKHGT_06614!E19),",0",",0")</f>
        <v>613419,19|5,0,0</v>
      </c>
    </row>
    <row r="20" spans="1:5" x14ac:dyDescent="0.25">
      <c r="A20" t="str">
        <f>CONCATENATE(613510,",",ROW(PLCTTHDMGUTCKHGT_06614!A20),"|",COLUMN(PLCTTHDMGUTCKHGT_06614!A20),",0",",0")</f>
        <v>613510,20|1,0,0</v>
      </c>
      <c r="B20" t="str">
        <f>CONCATENATE(613488,",",ROW(PLCTTHDMGUTCKHGT_06614!B20),"|",COLUMN(PLCTTHDMGUTCKHGT_06614!B20),",0",",0")</f>
        <v>613488,20|2,0,0</v>
      </c>
      <c r="C20" t="str">
        <f>CONCATENATE(613561,",",ROW(PLCTTHDMGUTCKHGT_06614!C20),"|",COLUMN(PLCTTHDMGUTCKHGT_06614!C20),",0",",0")</f>
        <v>613561,20|3,0,0</v>
      </c>
      <c r="D20" t="str">
        <f>CONCATENATE(613431,",",ROW(PLCTTHDMGUTCKHGT_06614!D20),"|",COLUMN(PLCTTHDMGUTCKHGT_06614!D20),",0",",0")</f>
        <v>613431,20|4,0,0</v>
      </c>
      <c r="E20" t="str">
        <f>CONCATENATE(613547,",",ROW(PLCTTHDMGUTCKHGT_06614!E20),"|",COLUMN(PLCTTHDMGUTCKHGT_06614!E20),",0",",0")</f>
        <v>613547,20|5,0,0</v>
      </c>
    </row>
    <row r="21" spans="1:5" x14ac:dyDescent="0.25">
      <c r="A21" t="str">
        <f>CONCATENATE(613511,",",ROW(PLCTTHDMGUTCKHGT_06614!A21),"|",COLUMN(PLCTTHDMGUTCKHGT_06614!A21),",0",",0")</f>
        <v>613511,21|1,0,0</v>
      </c>
      <c r="B21" t="str">
        <f>CONCATENATE(613477,",",ROW(PLCTTHDMGUTCKHGT_06614!B21),"|",COLUMN(PLCTTHDMGUTCKHGT_06614!B21),",0",",0")</f>
        <v>613477,21|2,0,0</v>
      </c>
      <c r="C21" t="str">
        <f>CONCATENATE(613533,",",ROW(PLCTTHDMGUTCKHGT_06614!C21),"|",COLUMN(PLCTTHDMGUTCKHGT_06614!C21),",0",",0")</f>
        <v>613533,21|3,0,0</v>
      </c>
      <c r="D21" t="str">
        <f>CONCATENATE(613395,",",ROW(PLCTTHDMGUTCKHGT_06614!D21),"|",COLUMN(PLCTTHDMGUTCKHGT_06614!D21),",0",",0")</f>
        <v>613395,21|4,0,0</v>
      </c>
      <c r="E21" t="str">
        <f>CONCATENATE(613400,",",ROW(PLCTTHDMGUTCKHGT_06614!E21),"|",COLUMN(PLCTTHDMGUTCKHGT_06614!E21),",0",",0")</f>
        <v>613400,21|5,0,0</v>
      </c>
    </row>
    <row r="22" spans="1:5" x14ac:dyDescent="0.25">
      <c r="A22" t="str">
        <f>CONCATENATE(613512,",",ROW(PLCTTHDMGUTCKHGT_06614!A22),"|",COLUMN(PLCTTHDMGUTCKHGT_06614!A22),",0",",0")</f>
        <v>613512,22|1,0,0</v>
      </c>
      <c r="B22" t="str">
        <f>CONCATENATE(613457,",",ROW(PLCTTHDMGUTCKHGT_06614!B22),"|",COLUMN(PLCTTHDMGUTCKHGT_06614!B22),",0",",0")</f>
        <v>613457,22|2,0,0</v>
      </c>
      <c r="C22" t="str">
        <f>CONCATENATE(613412,",",ROW(PLCTTHDMGUTCKHGT_06614!C22),"|",COLUMN(PLCTTHDMGUTCKHGT_06614!C22),",0",",0")</f>
        <v>613412,22|3,0,0</v>
      </c>
      <c r="D22" t="str">
        <f>CONCATENATE(613441,",",ROW(PLCTTHDMGUTCKHGT_06614!D22),"|",COLUMN(PLCTTHDMGUTCKHGT_06614!D22),",0",",0")</f>
        <v>613441,22|4,0,0</v>
      </c>
      <c r="E22" t="str">
        <f>CONCATENATE(613386,",",ROW(PLCTTHDMGUTCKHGT_06614!E22),"|",COLUMN(PLCTTHDMGUTCKHGT_06614!E22),",0",",0")</f>
        <v>613386,22|5,0,0</v>
      </c>
    </row>
    <row r="23" spans="1:5" x14ac:dyDescent="0.25">
      <c r="A23" t="str">
        <f>CONCATENATE(613513,",",ROW(PLCTTHDMGUTCKHGT_06614!A23),"|",COLUMN(PLCTTHDMGUTCKHGT_06614!A23),",0",",0")</f>
        <v>613513,23|1,0,0</v>
      </c>
      <c r="B23" t="str">
        <f>CONCATENATE(613458,",",ROW(PLCTTHDMGUTCKHGT_06614!B23),"|",COLUMN(PLCTTHDMGUTCKHGT_06614!B23),",0",",0")</f>
        <v>613458,23|2,0,0</v>
      </c>
      <c r="C23" t="str">
        <f>CONCATENATE(613413,",",ROW(PLCTTHDMGUTCKHGT_06614!C23),"|",COLUMN(PLCTTHDMGUTCKHGT_06614!C23),",0",",0")</f>
        <v>613413,23|3,0,0</v>
      </c>
      <c r="D23" t="str">
        <f>CONCATENATE(613442,",",ROW(PLCTTHDMGUTCKHGT_06614!D23),"|",COLUMN(PLCTTHDMGUTCKHGT_06614!D23),",0",",0")</f>
        <v>613442,23|4,0,0</v>
      </c>
      <c r="E23" t="str">
        <f>CONCATENATE(613387,",",ROW(PLCTTHDMGUTCKHGT_06614!E23),"|",COLUMN(PLCTTHDMGUTCKHGT_06614!E23),",0",",0")</f>
        <v>613387,23|5,0,0</v>
      </c>
    </row>
    <row r="24" spans="1:5" x14ac:dyDescent="0.25">
      <c r="A24" t="str">
        <f>CONCATENATE(613503,",",ROW(PLCTTHDMGUTCKHGT_06614!A24),"|",COLUMN(PLCTTHDMGUTCKHGT_06614!A24),",0",",0")</f>
        <v>613503,24|1,0,0</v>
      </c>
      <c r="B24" t="str">
        <f>CONCATENATE(613489,",",ROW(PLCTTHDMGUTCKHGT_06614!B24),"|",COLUMN(PLCTTHDMGUTCKHGT_06614!B24),",0",",0")</f>
        <v>613489,24|2,0,0</v>
      </c>
      <c r="C24" t="str">
        <f>CONCATENATE(613562,",",ROW(PLCTTHDMGUTCKHGT_06614!C24),"|",COLUMN(PLCTTHDMGUTCKHGT_06614!C24),",0",",0")</f>
        <v>613562,24|3,0,0</v>
      </c>
      <c r="D24" t="str">
        <f>CONCATENATE(613432,",",ROW(PLCTTHDMGUTCKHGT_06614!D24),"|",COLUMN(PLCTTHDMGUTCKHGT_06614!D24),",0",",0")</f>
        <v>613432,24|4,0,0</v>
      </c>
      <c r="E24" t="str">
        <f>CONCATENATE(613414,",",ROW(PLCTTHDMGUTCKHGT_06614!E24),"|",COLUMN(PLCTTHDMGUTCKHGT_06614!E24),",0",",0")</f>
        <v>613414,24|5,0,0</v>
      </c>
    </row>
    <row r="25" spans="1:5" x14ac:dyDescent="0.25">
      <c r="A25" t="str">
        <f>CONCATENATE(613470,",",ROW(PLCTTHDMGUTCKHGT_06614!A25),"|",COLUMN(PLCTTHDMGUTCKHGT_06614!A25),",0",",0")</f>
        <v>613470,25|1,0,0</v>
      </c>
      <c r="B25" t="str">
        <f>CONCATENATE(613478,",",ROW(PLCTTHDMGUTCKHGT_06614!B25),"|",COLUMN(PLCTTHDMGUTCKHGT_06614!B25),",0",",0")</f>
        <v>613478,25|2,0,0</v>
      </c>
      <c r="C25" t="str">
        <f>CONCATENATE(613529,",",ROW(PLCTTHDMGUTCKHGT_06614!C25),"|",COLUMN(PLCTTHDMGUTCKHGT_06614!C25),",0",",0")</f>
        <v>613529,25|3,0,0</v>
      </c>
      <c r="D25" t="str">
        <f>CONCATENATE(613449,",",ROW(PLCTTHDMGUTCKHGT_06614!D25),"|",COLUMN(PLCTTHDMGUTCKHGT_06614!D25),",0",",0")</f>
        <v>613449,25|4,0,0</v>
      </c>
      <c r="E25" t="str">
        <f>CONCATENATE(613396,",",ROW(PLCTTHDMGUTCKHGT_06614!E25),"|",COLUMN(PLCTTHDMGUTCKHGT_06614!E25),",0",",0")</f>
        <v>613396,25|5,0,0</v>
      </c>
    </row>
    <row r="26" spans="1:5" x14ac:dyDescent="0.25">
      <c r="A26" t="str">
        <f>CONCATENATE(613408,",",ROW(PLCTTHDMGUTCKHGT_06614!A26),"|",COLUMN(PLCTTHDMGUTCKHGT_06614!A26),",0",",0")</f>
        <v>613408,26|1,0,0</v>
      </c>
      <c r="B26" t="str">
        <f>CONCATENATE(613459,",",ROW(PLCTTHDMGUTCKHGT_06614!B26),"|",COLUMN(PLCTTHDMGUTCKHGT_06614!B26),",0",",0")</f>
        <v>613459,26|2,0,0</v>
      </c>
      <c r="C26" t="str">
        <f>CONCATENATE(613404,",",ROW(PLCTTHDMGUTCKHGT_06614!C26),"|",COLUMN(PLCTTHDMGUTCKHGT_06614!C26),",0",",0")</f>
        <v>613404,26|3,0,0</v>
      </c>
      <c r="D26" t="str">
        <f>CONCATENATE(613403,",",ROW(PLCTTHDMGUTCKHGT_06614!D26),"|",COLUMN(PLCTTHDMGUTCKHGT_06614!D26),",0",",0")</f>
        <v>613403,26|4,0,0</v>
      </c>
      <c r="E26" t="str">
        <f>CONCATENATE(613388,",",ROW(PLCTTHDMGUTCKHGT_06614!E26),"|",COLUMN(PLCTTHDMGUTCKHGT_06614!E26),",0",",0")</f>
        <v>613388,26|5,0,0</v>
      </c>
    </row>
    <row r="27" spans="1:5" x14ac:dyDescent="0.25">
      <c r="A27" t="str">
        <f>CONCATENATE(613490,",",ROW(PLCTTHDMGUTCKHGT_06614!A27),"|",COLUMN(PLCTTHDMGUTCKHGT_06614!A27),",0",",0")</f>
        <v>613490,27|1,0,0</v>
      </c>
      <c r="B27" t="str">
        <f>CONCATENATE(613484,",",ROW(PLCTTHDMGUTCKHGT_06614!B27),"|",COLUMN(PLCTTHDMGUTCKHGT_06614!B27),",0",",0")</f>
        <v>613484,27|2,0,0</v>
      </c>
      <c r="C27" t="str">
        <f>CONCATENATE(613563,",",ROW(PLCTTHDMGUTCKHGT_06614!C27),"|",COLUMN(PLCTTHDMGUTCKHGT_06614!C27),",0",",0")</f>
        <v>613563,27|3,0,0</v>
      </c>
      <c r="D27" t="str">
        <f>CONCATENATE(613433,",",ROW(PLCTTHDMGUTCKHGT_06614!D27),"|",COLUMN(PLCTTHDMGUTCKHGT_06614!D27),",0",",0")</f>
        <v>613433,27|4,0,0</v>
      </c>
      <c r="E27" t="str">
        <f>CONCATENATE(613415,",",ROW(PLCTTHDMGUTCKHGT_06614!E27),"|",COLUMN(PLCTTHDMGUTCKHGT_06614!E27),",0",",0")</f>
        <v>613415,27|5,0,0</v>
      </c>
    </row>
    <row r="28" spans="1:5" x14ac:dyDescent="0.25">
      <c r="A28" t="str">
        <f>CONCATENATE(613506,",",ROW(PLCTTHDMGUTCKHGT_06614!A28),"|",COLUMN(PLCTTHDMGUTCKHGT_06614!A28),",0",",0")</f>
        <v>613506,28|1,0,0</v>
      </c>
      <c r="B28" t="str">
        <f>CONCATENATE(613487,",",ROW(PLCTTHDMGUTCKHGT_06614!B28),"|",COLUMN(PLCTTHDMGUTCKHGT_06614!B28),",0",",0")</f>
        <v>613487,28|2,0,0</v>
      </c>
      <c r="C28" t="str">
        <f>CONCATENATE(613560,",",ROW(PLCTTHDMGUTCKHGT_06614!C28),"|",COLUMN(PLCTTHDMGUTCKHGT_06614!C28),",0",",0")</f>
        <v>613560,28|3,0,0</v>
      </c>
      <c r="D28" t="str">
        <f>CONCATENATE(613430,",",ROW(PLCTTHDMGUTCKHGT_06614!D28),"|",COLUMN(PLCTTHDMGUTCKHGT_06614!D28),",0",",0")</f>
        <v>613430,28|4,0,0</v>
      </c>
      <c r="E28" t="str">
        <f>CONCATENATE(613546,",",ROW(PLCTTHDMGUTCKHGT_06614!E28),"|",COLUMN(PLCTTHDMGUTCKHGT_06614!E28),",0",",0")</f>
        <v>613546,28|5,0,0</v>
      </c>
    </row>
    <row r="29" spans="1:5" x14ac:dyDescent="0.25">
      <c r="A29" t="str">
        <f>CONCATENATE(613471,",",ROW(PLCTTHDMGUTCKHGT_06614!A29),"|",COLUMN(PLCTTHDMGUTCKHGT_06614!A29),",0",",0")</f>
        <v>613471,29|1,0,0</v>
      </c>
      <c r="B29" t="str">
        <f>CONCATENATE(613479,",",ROW(PLCTTHDMGUTCKHGT_06614!B29),"|",COLUMN(PLCTTHDMGUTCKHGT_06614!B29),",0",",0")</f>
        <v>613479,29|2,0,0</v>
      </c>
      <c r="C29" t="str">
        <f>CONCATENATE(613530,",",ROW(PLCTTHDMGUTCKHGT_06614!C29),"|",COLUMN(PLCTTHDMGUTCKHGT_06614!C29),",0",",0")</f>
        <v>613530,29|3,0,0</v>
      </c>
      <c r="D29" t="str">
        <f>CONCATENATE(613450,",",ROW(PLCTTHDMGUTCKHGT_06614!D29),"|",COLUMN(PLCTTHDMGUTCKHGT_06614!D29),",0",",0")</f>
        <v>613450,29|4,0,0</v>
      </c>
      <c r="E29" t="str">
        <f>CONCATENATE(613397,",",ROW(PLCTTHDMGUTCKHGT_06614!E29),"|",COLUMN(PLCTTHDMGUTCKHGT_06614!E29),",0",",0")</f>
        <v>613397,29|5,0,0</v>
      </c>
    </row>
    <row r="30" spans="1:5" x14ac:dyDescent="0.25">
      <c r="A30" t="str">
        <f>CONCATENATE(613453,",",ROW(PLCTTHDMGUTCKHGT_06614!A30),"|",COLUMN(PLCTTHDMGUTCKHGT_06614!A30),",0",",0")</f>
        <v>613453,30|1,0,0</v>
      </c>
      <c r="B30" t="str">
        <f>CONCATENATE(613480,",",ROW(PLCTTHDMGUTCKHGT_06614!B30),"|",COLUMN(PLCTTHDMGUTCKHGT_06614!B30),",0",",0")</f>
        <v>613480,30|2,0,0</v>
      </c>
      <c r="C30" t="str">
        <f>CONCATENATE(613569,",",ROW(PLCTTHDMGUTCKHGT_06614!C30),"|",COLUMN(PLCTTHDMGUTCKHGT_06614!C30),",0",",0")</f>
        <v>613569,30|3,0,0</v>
      </c>
      <c r="D30" t="str">
        <f>CONCATENATE(613439,",",ROW(PLCTTHDMGUTCKHGT_06614!D30),"|",COLUMN(PLCTTHDMGUTCKHGT_06614!D30),",0",",0")</f>
        <v>613439,30|4,0,0</v>
      </c>
      <c r="E30" t="str">
        <f>CONCATENATE(613384,",",ROW(PLCTTHDMGUTCKHGT_06614!E30),"|",COLUMN(PLCTTHDMGUTCKHGT_06614!E30),",0",",0")</f>
        <v>613384,30|5,0,0</v>
      </c>
    </row>
    <row r="31" spans="1:5" x14ac:dyDescent="0.25">
      <c r="A31" t="str">
        <f>CONCATENATE(613454,",",ROW(PLCTTHDMGUTCKHGT_06614!A31),"|",COLUMN(PLCTTHDMGUTCKHGT_06614!A31),",0",",0")</f>
        <v>613454,31|1,0,0</v>
      </c>
      <c r="B31" t="str">
        <f>CONCATENATE(613498,",",ROW(PLCTTHDMGUTCKHGT_06614!B31),"|",COLUMN(PLCTTHDMGUTCKHGT_06614!B31),",0",",0")</f>
        <v>613498,31|2,0,0</v>
      </c>
      <c r="C31" t="str">
        <f>CONCATENATE(613550,",",ROW(PLCTTHDMGUTCKHGT_06614!C31),"|",COLUMN(PLCTTHDMGUTCKHGT_06614!C31),",0",",0")</f>
        <v>613550,31|3,0,0</v>
      </c>
      <c r="D31" t="str">
        <f>CONCATENATE(613421,",",ROW(PLCTTHDMGUTCKHGT_06614!D31),"|",COLUMN(PLCTTHDMGUTCKHGT_06614!D31),",0",",0")</f>
        <v>613421,31|4,0,0</v>
      </c>
      <c r="E31" t="str">
        <f>CONCATENATE(613536,",",ROW(PLCTTHDMGUTCKHGT_06614!E31),"|",COLUMN(PLCTTHDMGUTCKHGT_06614!E31),",0",",0")</f>
        <v>613536,31|5,0,0</v>
      </c>
    </row>
    <row r="32" spans="1:5" x14ac:dyDescent="0.25">
      <c r="A32" t="str">
        <f>CONCATENATE(613472,",",ROW(PLCTTHDMGUTCKHGT_06614!A32),"|",COLUMN(PLCTTHDMGUTCKHGT_06614!A32),",0",",0")</f>
        <v>613472,32|1,0,0</v>
      </c>
      <c r="B32" t="str">
        <f>CONCATENATE(613481,",",ROW(PLCTTHDMGUTCKHGT_06614!B32),"|",COLUMN(PLCTTHDMGUTCKHGT_06614!B32),",0",",0")</f>
        <v>613481,32|2,0,0</v>
      </c>
      <c r="C32" t="str">
        <f>CONCATENATE(613551,",",ROW(PLCTTHDMGUTCKHGT_06614!C32),"|",COLUMN(PLCTTHDMGUTCKHGT_06614!C32),",0",",0")</f>
        <v>613551,32|3,0,0</v>
      </c>
      <c r="D32" t="str">
        <f>CONCATENATE(613422,",",ROW(PLCTTHDMGUTCKHGT_06614!D32),"|",COLUMN(PLCTTHDMGUTCKHGT_06614!D32),",0",",0")</f>
        <v>613422,32|4,0,0</v>
      </c>
      <c r="E32" t="str">
        <f>CONCATENATE(613537,",",ROW(PLCTTHDMGUTCKHGT_06614!E32),"|",COLUMN(PLCTTHDMGUTCKHGT_06614!E32),",0",",0")</f>
        <v>613537,32|5,0,0</v>
      </c>
    </row>
    <row r="33" spans="1:5" x14ac:dyDescent="0.25">
      <c r="A33" t="str">
        <f>CONCATENATE(613514,",",ROW(PLCTTHDMGUTCKHGT_06614!A33),"|",COLUMN(PLCTTHDMGUTCKHGT_06614!A33),",0",",0")</f>
        <v>613514,33|1,0,0</v>
      </c>
      <c r="B33" t="str">
        <f>CONCATENATE(613485,",",ROW(PLCTTHDMGUTCKHGT_06614!B33),"|",COLUMN(PLCTTHDMGUTCKHGT_06614!B33),",0",",0")</f>
        <v>613485,33|2,0,0</v>
      </c>
      <c r="C33" t="str">
        <f>CONCATENATE(613552,",",ROW(PLCTTHDMGUTCKHGT_06614!C33),"|",COLUMN(PLCTTHDMGUTCKHGT_06614!C33),",0",",0")</f>
        <v>613552,33|3,0,0</v>
      </c>
      <c r="D33" t="str">
        <f>CONCATENATE(613423,",",ROW(PLCTTHDMGUTCKHGT_06614!D33),"|",COLUMN(PLCTTHDMGUTCKHGT_06614!D33),",0",",0")</f>
        <v>613423,33|4,0,0</v>
      </c>
      <c r="E33" t="str">
        <f>CONCATENATE(613538,",",ROW(PLCTTHDMGUTCKHGT_06614!E33),"|",COLUMN(PLCTTHDMGUTCKHGT_06614!E33),",0",",0")</f>
        <v>613538,33|5,0,0</v>
      </c>
    </row>
    <row r="34" spans="1:5" x14ac:dyDescent="0.25">
      <c r="A34" t="str">
        <f>CONCATENATE(613455,",",ROW(PLCTTHDMGUTCKHGT_06614!A34),"|",COLUMN(PLCTTHDMGUTCKHGT_06614!A34),",0",",0")</f>
        <v>613455,34|1,0,0</v>
      </c>
      <c r="B34" t="str">
        <f>CONCATENATE(613499,",",ROW(PLCTTHDMGUTCKHGT_06614!B34),"|",COLUMN(PLCTTHDMGUTCKHGT_06614!B34),",0",",0")</f>
        <v>613499,34|2,0,0</v>
      </c>
      <c r="C34" t="str">
        <f>CONCATENATE(613553,",",ROW(PLCTTHDMGUTCKHGT_06614!C34),"|",COLUMN(PLCTTHDMGUTCKHGT_06614!C34),",0",",0")</f>
        <v>613553,34|3,0,0</v>
      </c>
      <c r="D34" t="str">
        <f>CONCATENATE(613420,",",ROW(PLCTTHDMGUTCKHGT_06614!D34),"|",COLUMN(PLCTTHDMGUTCKHGT_06614!D34),",0",",0")</f>
        <v>613420,34|4,0,0</v>
      </c>
      <c r="E34" t="str">
        <f>CONCATENATE(613539,",",ROW(PLCTTHDMGUTCKHGT_06614!E34),"|",COLUMN(PLCTTHDMGUTCKHGT_06614!E34),",0",",0")</f>
        <v>613539,34|5,0,0</v>
      </c>
    </row>
    <row r="35" spans="1:5" x14ac:dyDescent="0.25">
      <c r="A35" t="str">
        <f>CONCATENATE(613515,",",ROW(PLCTTHDMGUTCKHGT_06614!A35),"|",COLUMN(PLCTTHDMGUTCKHGT_06614!A35),",0",",0")</f>
        <v>613515,35|1,0,0</v>
      </c>
      <c r="B35" t="str">
        <f>CONCATENATE(613486,",",ROW(PLCTTHDMGUTCKHGT_06614!B35),"|",COLUMN(PLCTTHDMGUTCKHGT_06614!B35),",0",",0")</f>
        <v>613486,35|2,0,0</v>
      </c>
      <c r="C35" t="str">
        <f>CONCATENATE(613554,",",ROW(PLCTTHDMGUTCKHGT_06614!C35),"|",COLUMN(PLCTTHDMGUTCKHGT_06614!C35),",0",",0")</f>
        <v>613554,35|3,0,0</v>
      </c>
      <c r="D35" t="str">
        <f>CONCATENATE(613424,",",ROW(PLCTTHDMGUTCKHGT_06614!D35),"|",COLUMN(PLCTTHDMGUTCKHGT_06614!D35),",0",",0")</f>
        <v>613424,35|4,0,0</v>
      </c>
      <c r="E35" t="str">
        <f>CONCATENATE(613540,",",ROW(PLCTTHDMGUTCKHGT_06614!E35),"|",COLUMN(PLCTTHDMGUTCKHGT_06614!E35),",0",",0")</f>
        <v>613540,35|5,0,0</v>
      </c>
    </row>
    <row r="36" spans="1:5" x14ac:dyDescent="0.25">
      <c r="A36" t="str">
        <f>CONCATENATE(613516,",",ROW(PLCTTHDMGUTCKHGT_06614!A36),"|",COLUMN(PLCTTHDMGUTCKHGT_06614!A36),",0",",0")</f>
        <v>613516,36|1,0,0</v>
      </c>
      <c r="B36" t="str">
        <f>CONCATENATE(613482,",",ROW(PLCTTHDMGUTCKHGT_06614!B36),"|",COLUMN(PLCTTHDMGUTCKHGT_06614!B36),",0",",0")</f>
        <v>613482,36|2,0,0</v>
      </c>
      <c r="C36" t="str">
        <f>CONCATENATE(613555,",",ROW(PLCTTHDMGUTCKHGT_06614!C36),"|",COLUMN(PLCTTHDMGUTCKHGT_06614!C36),",0",",0")</f>
        <v>613555,36|3,0,0</v>
      </c>
      <c r="D36" t="str">
        <f>CONCATENATE(613425,",",ROW(PLCTTHDMGUTCKHGT_06614!D36),"|",COLUMN(PLCTTHDMGUTCKHGT_06614!D36),",0",",0")</f>
        <v>613425,36|4,0,0</v>
      </c>
      <c r="E36" t="str">
        <f>CONCATENATE(613541,",",ROW(PLCTTHDMGUTCKHGT_06614!E36),"|",COLUMN(PLCTTHDMGUTCKHGT_06614!E36),",0",",0")</f>
        <v>613541,36|5,0,0</v>
      </c>
    </row>
    <row r="37" spans="1:5" x14ac:dyDescent="0.25">
      <c r="A37" t="str">
        <f>CONCATENATE(613409,",",ROW(PLCTTHDMGUTCKHGT_06614!A37),"|",COLUMN(PLCTTHDMGUTCKHGT_06614!A37),",0",",0")</f>
        <v>613409,37|1,0,0</v>
      </c>
      <c r="B37" t="str">
        <f>CONCATENATE(613548,",",ROW(PLCTTHDMGUTCKHGT_06614!B37),"|",COLUMN(PLCTTHDMGUTCKHGT_06614!B37),",0",",0")</f>
        <v>613548,37|2,0,0</v>
      </c>
      <c r="C37" t="str">
        <f>CONCATENATE(613556,",",ROW(PLCTTHDMGUTCKHGT_06614!C37),"|",COLUMN(PLCTTHDMGUTCKHGT_06614!C37),",0",",0")</f>
        <v>613556,37|3,0,0</v>
      </c>
      <c r="D37" t="str">
        <f>CONCATENATE(613426,",",ROW(PLCTTHDMGUTCKHGT_06614!D37),"|",COLUMN(PLCTTHDMGUTCKHGT_06614!D37),",0",",0")</f>
        <v>613426,37|4,0,0</v>
      </c>
      <c r="E37" t="str">
        <f>CONCATENATE(613542,",",ROW(PLCTTHDMGUTCKHGT_06614!E37),"|",COLUMN(PLCTTHDMGUTCKHGT_06614!E37),",0",",0")</f>
        <v>613542,37|5,0,0</v>
      </c>
    </row>
    <row r="38" spans="1:5" x14ac:dyDescent="0.25">
      <c r="A38" t="str">
        <f>CONCATENATE(613410,",",ROW(PLCTTHDMGUTCKHGT_06614!A38),"|",COLUMN(PLCTTHDMGUTCKHGT_06614!A38),",0",",0")</f>
        <v>613410,38|1,0,0</v>
      </c>
      <c r="B38" t="str">
        <f>CONCATENATE(613507,",",ROW(PLCTTHDMGUTCKHGT_06614!B38),"|",COLUMN(PLCTTHDMGUTCKHGT_06614!B38),",0",",0")</f>
        <v>613507,38|2,0,0</v>
      </c>
      <c r="C38" t="str">
        <f>CONCATENATE(613557,",",ROW(PLCTTHDMGUTCKHGT_06614!C38),"|",COLUMN(PLCTTHDMGUTCKHGT_06614!C38),",0",",0")</f>
        <v>613557,38|3,0,0</v>
      </c>
      <c r="D38" t="str">
        <f>CONCATENATE(613427,",",ROW(PLCTTHDMGUTCKHGT_06614!D38),"|",COLUMN(PLCTTHDMGUTCKHGT_06614!D38),",0",",0")</f>
        <v>613427,38|4,0,0</v>
      </c>
      <c r="E38" t="str">
        <f>CONCATENATE(613543,",",ROW(PLCTTHDMGUTCKHGT_06614!E38),"|",COLUMN(PLCTTHDMGUTCKHGT_06614!E38),",0",",0")</f>
        <v>613543,38|5,0,0</v>
      </c>
    </row>
    <row r="39" spans="1:5" x14ac:dyDescent="0.25">
      <c r="A39" t="str">
        <f>CONCATENATE(613517,",",ROW(PLCTTHDMGUTCKHGT_06614!A39),"|",COLUMN(PLCTTHDMGUTCKHGT_06614!A39),",0",",0")</f>
        <v>613517,39|1,0,0</v>
      </c>
      <c r="B39" t="str">
        <f>CONCATENATE(613549,",",ROW(PLCTTHDMGUTCKHGT_06614!B39),"|",COLUMN(PLCTTHDMGUTCKHGT_06614!B39),",0",",0")</f>
        <v>613549,39|2,0,0</v>
      </c>
      <c r="C39" t="str">
        <f>CONCATENATE(613558,",",ROW(PLCTTHDMGUTCKHGT_06614!C39),"|",COLUMN(PLCTTHDMGUTCKHGT_06614!C39),",0",",0")</f>
        <v>613558,39|3,0,0</v>
      </c>
      <c r="D39" t="str">
        <f>CONCATENATE(613428,",",ROW(PLCTTHDMGUTCKHGT_06614!D39),"|",COLUMN(PLCTTHDMGUTCKHGT_06614!D39),",0",",0")</f>
        <v>613428,39|4,0,0</v>
      </c>
      <c r="E39" t="str">
        <f>CONCATENATE(613544,",",ROW(PLCTTHDMGUTCKHGT_06614!E39),"|",COLUMN(PLCTTHDMGUTCKHGT_06614!E39),",0",",0")</f>
        <v>613544,39|5,0,0</v>
      </c>
    </row>
    <row r="40" spans="1:5" x14ac:dyDescent="0.25">
      <c r="A40" t="str">
        <f>CONCATENATE(613518,",",ROW(PLCTTHDMGUTCKHGT_06614!A40),"|",COLUMN(PLCTTHDMGUTCKHGT_06614!A40),",0",",0")</f>
        <v>613518,40|1,0,0</v>
      </c>
      <c r="B40" t="str">
        <f>CONCATENATE(613501,",",ROW(PLCTTHDMGUTCKHGT_06614!B40),"|",COLUMN(PLCTTHDMGUTCKHGT_06614!B40),",0",",0")</f>
        <v>613501,40|2,0,0</v>
      </c>
      <c r="C40" t="str">
        <f>CONCATENATE(613559,",",ROW(PLCTTHDMGUTCKHGT_06614!C40),"|",COLUMN(PLCTTHDMGUTCKHGT_06614!C40),",0",",0")</f>
        <v>613559,40|3,0,0</v>
      </c>
      <c r="D40" t="str">
        <f>CONCATENATE(613429,",",ROW(PLCTTHDMGUTCKHGT_06614!D40),"|",COLUMN(PLCTTHDMGUTCKHGT_06614!D40),",0",",0")</f>
        <v>613429,40|4,0,0</v>
      </c>
      <c r="E40" t="str">
        <f>CONCATENATE(613545,",",ROW(PLCTTHDMGUTCKHGT_06614!E40),"|",COLUMN(PLCTTHDMGUTCKHGT_06614!E40),",0",",0")</f>
        <v>613545,40|5,0,0</v>
      </c>
    </row>
  </sheetData>
  <sheetProtection password="CB7D"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J23" sqref="J23"/>
    </sheetView>
  </sheetViews>
  <sheetFormatPr defaultRowHeight="15" x14ac:dyDescent="0.25"/>
  <cols>
    <col min="1" max="1" width="31.28515625" bestFit="1" customWidth="1"/>
    <col min="2" max="2" width="11.85546875" customWidth="1"/>
    <col min="3" max="3" width="20.85546875" customWidth="1"/>
    <col min="4" max="4" width="22.42578125" customWidth="1"/>
    <col min="5" max="5" width="23.5703125" customWidth="1"/>
    <col min="6" max="6" width="13.7109375" customWidth="1"/>
    <col min="7" max="7" width="20.42578125" customWidth="1"/>
    <col min="8" max="8" width="16.85546875" customWidth="1"/>
    <col min="9" max="10" width="24.28515625" bestFit="1" customWidth="1"/>
    <col min="11" max="11" width="14.85546875" bestFit="1" customWidth="1"/>
  </cols>
  <sheetData>
    <row r="1" spans="1:11" ht="20.25" x14ac:dyDescent="0.3">
      <c r="A1" s="2223" t="s">
        <v>22</v>
      </c>
      <c r="B1" s="2223" t="s">
        <v>5</v>
      </c>
      <c r="C1" s="2223" t="s">
        <v>5</v>
      </c>
      <c r="D1" s="2223" t="s">
        <v>5</v>
      </c>
      <c r="E1" s="2223" t="s">
        <v>5</v>
      </c>
      <c r="F1" s="2223" t="s">
        <v>5</v>
      </c>
      <c r="G1" s="2223" t="s">
        <v>5</v>
      </c>
      <c r="H1" s="2223" t="s">
        <v>5</v>
      </c>
      <c r="I1" s="2223" t="s">
        <v>5</v>
      </c>
      <c r="J1" s="2223" t="s">
        <v>5</v>
      </c>
      <c r="K1" s="2223" t="s">
        <v>5</v>
      </c>
    </row>
    <row r="2" spans="1:11" ht="18.75" x14ac:dyDescent="0.3">
      <c r="A2" s="2228" t="s">
        <v>765</v>
      </c>
      <c r="B2" s="2212" t="s">
        <v>5</v>
      </c>
      <c r="C2" s="2212" t="s">
        <v>5</v>
      </c>
      <c r="D2" s="2212" t="s">
        <v>5</v>
      </c>
      <c r="E2" s="2212" t="s">
        <v>5</v>
      </c>
      <c r="F2" s="2212" t="s">
        <v>5</v>
      </c>
      <c r="G2" s="2212" t="s">
        <v>5</v>
      </c>
      <c r="H2" s="2212" t="s">
        <v>5</v>
      </c>
      <c r="I2" s="2212" t="s">
        <v>5</v>
      </c>
      <c r="J2" s="2212" t="s">
        <v>5</v>
      </c>
      <c r="K2" s="2212" t="s">
        <v>5</v>
      </c>
    </row>
    <row r="3" spans="1:11" ht="18.75" x14ac:dyDescent="0.3">
      <c r="A3" s="2224" t="s">
        <v>502</v>
      </c>
      <c r="B3" s="2225" t="s">
        <v>5</v>
      </c>
      <c r="C3" s="2225" t="s">
        <v>5</v>
      </c>
      <c r="D3" s="2225" t="s">
        <v>5</v>
      </c>
      <c r="E3" s="2225" t="s">
        <v>5</v>
      </c>
      <c r="F3" s="2225" t="s">
        <v>5</v>
      </c>
      <c r="G3" s="2225" t="s">
        <v>5</v>
      </c>
      <c r="H3" s="2225" t="s">
        <v>5</v>
      </c>
      <c r="I3" s="2225" t="s">
        <v>5</v>
      </c>
      <c r="J3" s="2225" t="s">
        <v>5</v>
      </c>
      <c r="K3" s="2225" t="s">
        <v>5</v>
      </c>
    </row>
    <row r="4" spans="1:11" ht="29.25" customHeight="1" x14ac:dyDescent="0.25">
      <c r="A4" s="2226" t="s">
        <v>383</v>
      </c>
      <c r="B4" s="2226" t="s">
        <v>33</v>
      </c>
      <c r="C4" s="2226" t="s">
        <v>711</v>
      </c>
      <c r="D4" s="2227" t="s">
        <v>5</v>
      </c>
      <c r="E4" s="2226" t="s">
        <v>714</v>
      </c>
      <c r="F4" s="2227" t="s">
        <v>5</v>
      </c>
      <c r="G4" s="2227" t="s">
        <v>5</v>
      </c>
      <c r="H4" s="2227" t="s">
        <v>5</v>
      </c>
      <c r="I4" s="2226" t="s">
        <v>712</v>
      </c>
      <c r="J4" s="2227" t="s">
        <v>5</v>
      </c>
      <c r="K4" s="2226" t="s">
        <v>713</v>
      </c>
    </row>
    <row r="5" spans="1:11" x14ac:dyDescent="0.25">
      <c r="A5" s="2227" t="s">
        <v>5</v>
      </c>
      <c r="B5" s="2227" t="s">
        <v>5</v>
      </c>
      <c r="C5" s="2226" t="s">
        <v>716</v>
      </c>
      <c r="D5" s="2226" t="s">
        <v>715</v>
      </c>
      <c r="E5" s="2226" t="s">
        <v>716</v>
      </c>
      <c r="F5" s="2227" t="s">
        <v>5</v>
      </c>
      <c r="G5" s="2226" t="s">
        <v>715</v>
      </c>
      <c r="H5" s="2227" t="s">
        <v>5</v>
      </c>
      <c r="I5" s="2226" t="s">
        <v>716</v>
      </c>
      <c r="J5" s="2226" t="s">
        <v>715</v>
      </c>
      <c r="K5" s="2227" t="s">
        <v>5</v>
      </c>
    </row>
    <row r="6" spans="1:11" ht="18.75" x14ac:dyDescent="0.25">
      <c r="A6" s="2227" t="s">
        <v>5</v>
      </c>
      <c r="B6" s="2227" t="s">
        <v>5</v>
      </c>
      <c r="C6" s="2227" t="s">
        <v>5</v>
      </c>
      <c r="D6" s="2227" t="s">
        <v>5</v>
      </c>
      <c r="E6" s="1598" t="s">
        <v>710</v>
      </c>
      <c r="F6" s="1598" t="s">
        <v>709</v>
      </c>
      <c r="G6" s="1598" t="s">
        <v>710</v>
      </c>
      <c r="H6" s="1598" t="s">
        <v>709</v>
      </c>
      <c r="I6" s="2227" t="s">
        <v>5</v>
      </c>
      <c r="J6" s="2227" t="s">
        <v>5</v>
      </c>
      <c r="K6" s="2227" t="s">
        <v>5</v>
      </c>
    </row>
    <row r="7" spans="1:11" ht="33" x14ac:dyDescent="0.25">
      <c r="A7" s="1694" t="s">
        <v>756</v>
      </c>
      <c r="B7" s="1704"/>
      <c r="C7" s="1612" t="s">
        <v>5</v>
      </c>
      <c r="D7" s="1613" t="s">
        <v>5</v>
      </c>
      <c r="E7" s="1620" t="s">
        <v>5</v>
      </c>
      <c r="F7" s="1656" t="s">
        <v>5</v>
      </c>
      <c r="G7" s="1647" t="s">
        <v>5</v>
      </c>
      <c r="H7" s="1703" t="s">
        <v>5</v>
      </c>
      <c r="I7" s="1639" t="s">
        <v>5</v>
      </c>
      <c r="J7" s="1676" t="s">
        <v>5</v>
      </c>
      <c r="K7" s="1604" t="s">
        <v>717</v>
      </c>
    </row>
    <row r="8" spans="1:11" ht="33" x14ac:dyDescent="0.25">
      <c r="A8" s="1690" t="s">
        <v>752</v>
      </c>
      <c r="B8" s="1705"/>
      <c r="C8" s="2003">
        <v>500000000000</v>
      </c>
      <c r="D8" s="2004">
        <v>500000000000</v>
      </c>
      <c r="E8" s="2005"/>
      <c r="F8" s="2006"/>
      <c r="G8" s="2007"/>
      <c r="H8" s="2008"/>
      <c r="I8" s="2009">
        <v>500000000000</v>
      </c>
      <c r="J8" s="2010">
        <v>500000000000</v>
      </c>
      <c r="K8" s="1718" t="s">
        <v>759</v>
      </c>
    </row>
    <row r="9" spans="1:11" ht="49.5" x14ac:dyDescent="0.25">
      <c r="A9" s="1654" t="s">
        <v>740</v>
      </c>
      <c r="B9" s="1706"/>
      <c r="C9" s="2011">
        <v>500000000000</v>
      </c>
      <c r="D9" s="2012">
        <v>500000000000</v>
      </c>
      <c r="E9" s="2013"/>
      <c r="F9" s="2014"/>
      <c r="G9" s="2015"/>
      <c r="H9" s="2016"/>
      <c r="I9" s="2017">
        <v>500000000000</v>
      </c>
      <c r="J9" s="2018">
        <v>500000000000</v>
      </c>
      <c r="K9" s="1719" t="s">
        <v>760</v>
      </c>
    </row>
    <row r="10" spans="1:11" ht="33" x14ac:dyDescent="0.25">
      <c r="A10" s="1691" t="s">
        <v>753</v>
      </c>
      <c r="B10" s="1707"/>
      <c r="C10" s="2019"/>
      <c r="D10" s="2020"/>
      <c r="E10" s="2021"/>
      <c r="F10" s="2022"/>
      <c r="G10" s="2023"/>
      <c r="H10" s="2024"/>
      <c r="I10" s="2025"/>
      <c r="J10" s="2026"/>
      <c r="K10" s="1720" t="s">
        <v>761</v>
      </c>
    </row>
    <row r="11" spans="1:11" ht="33" x14ac:dyDescent="0.25">
      <c r="A11" s="1626" t="s">
        <v>730</v>
      </c>
      <c r="B11" s="1708"/>
      <c r="C11" s="2027"/>
      <c r="D11" s="2028"/>
      <c r="E11" s="2029"/>
      <c r="F11" s="2030"/>
      <c r="G11" s="2031"/>
      <c r="H11" s="2032"/>
      <c r="I11" s="2033"/>
      <c r="J11" s="2034"/>
      <c r="K11" s="1683" t="s">
        <v>745</v>
      </c>
    </row>
    <row r="12" spans="1:11" ht="49.5" x14ac:dyDescent="0.25">
      <c r="A12" s="1627" t="s">
        <v>731</v>
      </c>
      <c r="B12" s="1709"/>
      <c r="C12" s="2035"/>
      <c r="D12" s="2036"/>
      <c r="E12" s="2037"/>
      <c r="F12" s="2038"/>
      <c r="G12" s="2039"/>
      <c r="H12" s="2040"/>
      <c r="I12" s="2041"/>
      <c r="J12" s="2042"/>
      <c r="K12" s="1684" t="s">
        <v>746</v>
      </c>
    </row>
    <row r="13" spans="1:11" ht="33" x14ac:dyDescent="0.25">
      <c r="A13" s="1628" t="s">
        <v>732</v>
      </c>
      <c r="B13" s="1710"/>
      <c r="C13" s="2043"/>
      <c r="D13" s="2044"/>
      <c r="E13" s="2045"/>
      <c r="F13" s="2046"/>
      <c r="G13" s="2047"/>
      <c r="H13" s="2048"/>
      <c r="I13" s="2049"/>
      <c r="J13" s="2050"/>
      <c r="K13" s="1605" t="s">
        <v>718</v>
      </c>
    </row>
    <row r="14" spans="1:11" ht="33" x14ac:dyDescent="0.25">
      <c r="A14" s="1692" t="s">
        <v>754</v>
      </c>
      <c r="B14" s="1711"/>
      <c r="C14" s="2051"/>
      <c r="D14" s="2052"/>
      <c r="E14" s="2053"/>
      <c r="F14" s="2054"/>
      <c r="G14" s="2055"/>
      <c r="H14" s="2056"/>
      <c r="I14" s="2057"/>
      <c r="J14" s="2058"/>
      <c r="K14" s="1685" t="s">
        <v>747</v>
      </c>
    </row>
    <row r="15" spans="1:11" ht="49.5" x14ac:dyDescent="0.25">
      <c r="A15" s="1696" t="s">
        <v>758</v>
      </c>
      <c r="B15" s="1661"/>
      <c r="C15" s="2059">
        <v>8902712767</v>
      </c>
      <c r="D15" s="2060">
        <v>8902712767</v>
      </c>
      <c r="E15" s="2061"/>
      <c r="F15" s="2062"/>
      <c r="G15" s="2063"/>
      <c r="H15" s="2064"/>
      <c r="I15" s="2065">
        <v>8902712767</v>
      </c>
      <c r="J15" s="2066">
        <v>8902712767</v>
      </c>
      <c r="K15" s="1606" t="s">
        <v>719</v>
      </c>
    </row>
    <row r="16" spans="1:11" ht="49.5" x14ac:dyDescent="0.25">
      <c r="A16" s="1650" t="s">
        <v>736</v>
      </c>
      <c r="B16" s="1662"/>
      <c r="C16" s="2067">
        <v>8902712768</v>
      </c>
      <c r="D16" s="2068">
        <v>8902712768</v>
      </c>
      <c r="E16" s="2069"/>
      <c r="F16" s="2070"/>
      <c r="G16" s="2071"/>
      <c r="H16" s="2072"/>
      <c r="I16" s="2073">
        <v>8902712768</v>
      </c>
      <c r="J16" s="2074">
        <v>8902712768</v>
      </c>
      <c r="K16" s="1607" t="s">
        <v>720</v>
      </c>
    </row>
    <row r="17" spans="1:11" ht="49.5" x14ac:dyDescent="0.25">
      <c r="A17" s="1629" t="s">
        <v>733</v>
      </c>
      <c r="B17" s="1663"/>
      <c r="C17" s="2075"/>
      <c r="D17" s="2076"/>
      <c r="E17" s="2077"/>
      <c r="F17" s="2078"/>
      <c r="G17" s="2079"/>
      <c r="H17" s="2080"/>
      <c r="I17" s="2081"/>
      <c r="J17" s="2082"/>
      <c r="K17" s="1657" t="s">
        <v>741</v>
      </c>
    </row>
    <row r="18" spans="1:11" ht="33" x14ac:dyDescent="0.25">
      <c r="A18" s="1693" t="s">
        <v>755</v>
      </c>
      <c r="B18" s="1664"/>
      <c r="C18" s="2083"/>
      <c r="D18" s="2084"/>
      <c r="E18" s="2085"/>
      <c r="F18" s="2086"/>
      <c r="G18" s="2087"/>
      <c r="H18" s="2088"/>
      <c r="I18" s="2089"/>
      <c r="J18" s="2090"/>
      <c r="K18" s="1658" t="s">
        <v>742</v>
      </c>
    </row>
    <row r="19" spans="1:11" ht="49.5" x14ac:dyDescent="0.25">
      <c r="A19" s="1653" t="s">
        <v>739</v>
      </c>
      <c r="B19" s="1665"/>
      <c r="C19" s="2091">
        <v>11770434156</v>
      </c>
      <c r="D19" s="2092">
        <v>11770434156</v>
      </c>
      <c r="E19" s="2093"/>
      <c r="F19" s="2094"/>
      <c r="G19" s="2095"/>
      <c r="H19" s="2096"/>
      <c r="I19" s="2097">
        <v>11770434156</v>
      </c>
      <c r="J19" s="2098">
        <v>11770434156</v>
      </c>
      <c r="K19" s="1686" t="s">
        <v>748</v>
      </c>
    </row>
    <row r="20" spans="1:11" ht="33" x14ac:dyDescent="0.25">
      <c r="A20" s="1630" t="s">
        <v>734</v>
      </c>
      <c r="B20" s="1666"/>
      <c r="C20" s="2099">
        <v>-324754727299</v>
      </c>
      <c r="D20" s="2100">
        <v>-313444536173</v>
      </c>
      <c r="E20" s="2101">
        <v>11310191126</v>
      </c>
      <c r="F20" s="2102"/>
      <c r="G20" s="2103">
        <v>6085570329</v>
      </c>
      <c r="H20" s="2104">
        <v>-979569855</v>
      </c>
      <c r="I20" s="2105">
        <v>-313444536173</v>
      </c>
      <c r="J20" s="2106">
        <v>-308338535699</v>
      </c>
      <c r="K20" s="1687" t="s">
        <v>749</v>
      </c>
    </row>
    <row r="21" spans="1:11" ht="49.5" x14ac:dyDescent="0.25">
      <c r="A21" s="1622" t="s">
        <v>726</v>
      </c>
      <c r="B21" s="1667"/>
      <c r="C21" s="2107">
        <v>-314472345069</v>
      </c>
      <c r="D21" s="2108">
        <v>-308208804668</v>
      </c>
      <c r="E21" s="2109">
        <v>6263540401</v>
      </c>
      <c r="F21" s="2110"/>
      <c r="G21" s="2111">
        <v>6085570329</v>
      </c>
      <c r="H21" s="2112"/>
      <c r="I21" s="2113">
        <v>-308208804668</v>
      </c>
      <c r="J21" s="2114">
        <v>-302123234339</v>
      </c>
      <c r="K21" s="1608" t="s">
        <v>721</v>
      </c>
    </row>
    <row r="22" spans="1:11" ht="33" x14ac:dyDescent="0.25">
      <c r="A22" s="1631" t="s">
        <v>735</v>
      </c>
      <c r="B22" s="1668"/>
      <c r="C22" s="2115">
        <v>-10282382230</v>
      </c>
      <c r="D22" s="2116">
        <v>-5235731505</v>
      </c>
      <c r="E22" s="2117">
        <v>5046650725</v>
      </c>
      <c r="F22" s="2118"/>
      <c r="G22" s="2119"/>
      <c r="H22" s="2120">
        <v>-979569855</v>
      </c>
      <c r="I22" s="2121">
        <v>-5235731505</v>
      </c>
      <c r="J22" s="2122">
        <v>-6215301360</v>
      </c>
      <c r="K22" s="1688" t="s">
        <v>750</v>
      </c>
    </row>
    <row r="23" spans="1:11" s="2126" customFormat="1" ht="33" x14ac:dyDescent="0.25">
      <c r="A23" s="2123" t="s">
        <v>729</v>
      </c>
      <c r="B23" s="2124"/>
      <c r="C23" s="2125">
        <v>204821132392</v>
      </c>
      <c r="D23" s="2125">
        <v>216131323518</v>
      </c>
      <c r="E23" s="2125">
        <v>11310191126</v>
      </c>
      <c r="F23" s="2125"/>
      <c r="G23" s="2125">
        <v>6085570329</v>
      </c>
      <c r="H23" s="2125">
        <v>-979569855</v>
      </c>
      <c r="I23" s="2125">
        <v>216131323518</v>
      </c>
      <c r="J23" s="2125">
        <v>221237323992</v>
      </c>
      <c r="K23" s="2124" t="s">
        <v>722</v>
      </c>
    </row>
    <row r="24" spans="1:11" ht="33" x14ac:dyDescent="0.25">
      <c r="A24" s="1651" t="s">
        <v>737</v>
      </c>
      <c r="B24" s="1669"/>
      <c r="C24" s="1641" t="s">
        <v>5</v>
      </c>
      <c r="D24" s="1614" t="s">
        <v>5</v>
      </c>
      <c r="E24" s="1712" t="s">
        <v>5</v>
      </c>
      <c r="F24" s="1621" t="s">
        <v>5</v>
      </c>
      <c r="G24" s="1697" t="s">
        <v>5</v>
      </c>
      <c r="H24" s="1677" t="s">
        <v>5</v>
      </c>
      <c r="I24" s="1640" t="s">
        <v>5</v>
      </c>
      <c r="J24" s="1674" t="s">
        <v>5</v>
      </c>
      <c r="K24" s="1659" t="s">
        <v>743</v>
      </c>
    </row>
    <row r="25" spans="1:11" ht="49.5" x14ac:dyDescent="0.25">
      <c r="A25" s="1652" t="s">
        <v>738</v>
      </c>
      <c r="B25" s="1670"/>
      <c r="C25" s="1642" t="s">
        <v>5</v>
      </c>
      <c r="D25" s="1615" t="s">
        <v>5</v>
      </c>
      <c r="E25" s="1713" t="s">
        <v>5</v>
      </c>
      <c r="F25" s="1634" t="s">
        <v>5</v>
      </c>
      <c r="G25" s="1698" t="s">
        <v>5</v>
      </c>
      <c r="H25" s="1678" t="s">
        <v>5</v>
      </c>
      <c r="I25" s="1632" t="s">
        <v>5</v>
      </c>
      <c r="J25" s="1599" t="s">
        <v>5</v>
      </c>
      <c r="K25" s="1609" t="s">
        <v>723</v>
      </c>
    </row>
    <row r="26" spans="1:11" ht="49.5" x14ac:dyDescent="0.25">
      <c r="A26" s="1623" t="s">
        <v>727</v>
      </c>
      <c r="B26" s="1671"/>
      <c r="C26" s="1643" t="s">
        <v>5</v>
      </c>
      <c r="D26" s="1616" t="s">
        <v>5</v>
      </c>
      <c r="E26" s="1714" t="s">
        <v>5</v>
      </c>
      <c r="F26" s="1635" t="s">
        <v>5</v>
      </c>
      <c r="G26" s="1699" t="s">
        <v>5</v>
      </c>
      <c r="H26" s="1679" t="s">
        <v>5</v>
      </c>
      <c r="I26" s="1633" t="s">
        <v>5</v>
      </c>
      <c r="J26" s="1600" t="s">
        <v>5</v>
      </c>
      <c r="K26" s="1689" t="s">
        <v>751</v>
      </c>
    </row>
    <row r="27" spans="1:11" ht="49.5" x14ac:dyDescent="0.25">
      <c r="A27" s="1624" t="s">
        <v>728</v>
      </c>
      <c r="B27" s="1672"/>
      <c r="C27" s="1644" t="s">
        <v>5</v>
      </c>
      <c r="D27" s="1617" t="s">
        <v>5</v>
      </c>
      <c r="E27" s="1715" t="s">
        <v>5</v>
      </c>
      <c r="F27" s="1636" t="s">
        <v>5</v>
      </c>
      <c r="G27" s="1700" t="s">
        <v>5</v>
      </c>
      <c r="H27" s="1680" t="s">
        <v>5</v>
      </c>
      <c r="I27" s="1648" t="s">
        <v>5</v>
      </c>
      <c r="J27" s="1601" t="s">
        <v>5</v>
      </c>
      <c r="K27" s="1610" t="s">
        <v>724</v>
      </c>
    </row>
    <row r="28" spans="1:11" ht="33" x14ac:dyDescent="0.25">
      <c r="A28" s="1695" t="s">
        <v>757</v>
      </c>
      <c r="B28" s="1673"/>
      <c r="C28" s="1645" t="s">
        <v>5</v>
      </c>
      <c r="D28" s="1618" t="s">
        <v>5</v>
      </c>
      <c r="E28" s="1716" t="s">
        <v>5</v>
      </c>
      <c r="F28" s="1637" t="s">
        <v>5</v>
      </c>
      <c r="G28" s="1701" t="s">
        <v>5</v>
      </c>
      <c r="H28" s="1681" t="s">
        <v>5</v>
      </c>
      <c r="I28" s="1649" t="s">
        <v>5</v>
      </c>
      <c r="J28" s="1602" t="s">
        <v>5</v>
      </c>
      <c r="K28" s="1660" t="s">
        <v>744</v>
      </c>
    </row>
    <row r="29" spans="1:11" ht="33" x14ac:dyDescent="0.25">
      <c r="A29" s="1625" t="s">
        <v>729</v>
      </c>
      <c r="B29" s="1655"/>
      <c r="C29" s="1646" t="s">
        <v>5</v>
      </c>
      <c r="D29" s="1619" t="s">
        <v>5</v>
      </c>
      <c r="E29" s="1717" t="s">
        <v>5</v>
      </c>
      <c r="F29" s="1638" t="s">
        <v>5</v>
      </c>
      <c r="G29" s="1702" t="s">
        <v>5</v>
      </c>
      <c r="H29" s="1682" t="s">
        <v>5</v>
      </c>
      <c r="I29" s="1675" t="s">
        <v>5</v>
      </c>
      <c r="J29" s="1603" t="s">
        <v>5</v>
      </c>
      <c r="K29" s="1611" t="s">
        <v>725</v>
      </c>
    </row>
  </sheetData>
  <mergeCells count="15">
    <mergeCell ref="A1:K1"/>
    <mergeCell ref="A2:K2"/>
    <mergeCell ref="A3:K3"/>
    <mergeCell ref="A4:A6"/>
    <mergeCell ref="B4:B6"/>
    <mergeCell ref="C4:D4"/>
    <mergeCell ref="I4:J4"/>
    <mergeCell ref="K4:K6"/>
    <mergeCell ref="E4:H4"/>
    <mergeCell ref="J5:J6"/>
    <mergeCell ref="C5:C6"/>
    <mergeCell ref="E5:F5"/>
    <mergeCell ref="D5:D6"/>
    <mergeCell ref="G5:H5"/>
    <mergeCell ref="I5:I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29"/>
  <sheetViews>
    <sheetView workbookViewId="0"/>
  </sheetViews>
  <sheetFormatPr defaultRowHeight="15" x14ac:dyDescent="0.25"/>
  <cols>
    <col min="1" max="1" width="1" style="1721" bestFit="1" customWidth="1"/>
    <col min="2" max="11" width="1" bestFit="1" customWidth="1"/>
  </cols>
  <sheetData>
    <row r="7" spans="1:11" x14ac:dyDescent="0.25">
      <c r="A7" t="str">
        <f>CONCATENATE(614222,",",ROW(BCTHBDVCSH_06615!A7),"|",COLUMN(BCTHBDVCSH_06615!A7),",0",",0")</f>
        <v>614222,7|1,0,0</v>
      </c>
      <c r="B7" t="str">
        <f>CONCATENATE(614243,",",ROW(BCTHBDVCSH_06615!B7),"|",COLUMN(BCTHBDVCSH_06615!B7),",0",",0")</f>
        <v>614243,7|2,0,0</v>
      </c>
      <c r="C7" t="str">
        <f>CONCATENATE(614029,",",ROW(BCTHBDVCSH_06615!C7),"|",COLUMN(BCTHBDVCSH_06615!C7),",0",",0")</f>
        <v>614029,7|3,0,0</v>
      </c>
      <c r="D7" t="str">
        <f>CONCATENATE(614034,",",ROW(BCTHBDVCSH_06615!D7),"|",COLUMN(BCTHBDVCSH_06615!D7),",0",",0")</f>
        <v>614034,7|4,0,0</v>
      </c>
      <c r="E7" t="str">
        <f>CONCATENATE(614067,",",ROW(BCTHBDVCSH_06615!E7),"|",COLUMN(BCTHBDVCSH_06615!E7),",0",",0")</f>
        <v>614067,7|5,0,0</v>
      </c>
      <c r="F7" t="str">
        <f>CONCATENATE(614147,",",ROW(BCTHBDVCSH_06615!F7),"|",COLUMN(BCTHBDVCSH_06615!F7),",0",",0")</f>
        <v>614147,7|6,0,0</v>
      </c>
      <c r="G7" t="str">
        <f>CONCATENATE(614124,",",ROW(BCTHBDVCSH_06615!G7),"|",COLUMN(BCTHBDVCSH_06615!G7),",0",",0")</f>
        <v>614124,7|7,0,0</v>
      </c>
      <c r="H7" t="str">
        <f>CONCATENATE(614236,",",ROW(BCTHBDVCSH_06615!H7),"|",COLUMN(BCTHBDVCSH_06615!H7),",0",",0")</f>
        <v>614236,7|8,0,0</v>
      </c>
      <c r="I7" t="str">
        <f>CONCATENATE(614095,",",ROW(BCTHBDVCSH_06615!I7),"|",COLUMN(BCTHBDVCSH_06615!I7),",0",",0")</f>
        <v>614095,7|9,0,0</v>
      </c>
      <c r="J7" t="str">
        <f>CONCATENATE(614186,",",ROW(BCTHBDVCSH_06615!J7),"|",COLUMN(BCTHBDVCSH_06615!J7),",0",",0")</f>
        <v>614186,7|10,0,0</v>
      </c>
      <c r="K7" t="str">
        <f>CONCATENATE(614020,",",ROW(BCTHBDVCSH_06615!K7),"|",COLUMN(BCTHBDVCSH_06615!K7),",0",",0")</f>
        <v>614020,7|11,0,0</v>
      </c>
    </row>
    <row r="8" spans="1:11" x14ac:dyDescent="0.25">
      <c r="A8" t="str">
        <f>CONCATENATE(614217,",",ROW(BCTHBDVCSH_06615!A8),"|",COLUMN(BCTHBDVCSH_06615!A8),",0",",0")</f>
        <v>614217,8|1,0,0</v>
      </c>
      <c r="B8" t="str">
        <f>CONCATENATE(614244,",",ROW(BCTHBDVCSH_06615!B8),"|",COLUMN(BCTHBDVCSH_06615!B8),",0",",0")</f>
        <v>614244,8|2,0,0</v>
      </c>
      <c r="C8" t="str">
        <f>CONCATENATE(614030,",",ROW(BCTHBDVCSH_06615!C8),"|",COLUMN(BCTHBDVCSH_06615!C8),",0",",0")</f>
        <v>614030,8|3,0,0</v>
      </c>
      <c r="D8" t="str">
        <f>CONCATENATE(614035,",",ROW(BCTHBDVCSH_06615!D8),"|",COLUMN(BCTHBDVCSH_06615!D8),",0",",0")</f>
        <v>614035,8|4,0,0</v>
      </c>
      <c r="E8" t="str">
        <f>CONCATENATE(614068,",",ROW(BCTHBDVCSH_06615!E8),"|",COLUMN(BCTHBDVCSH_06615!E8),",0",",0")</f>
        <v>614068,8|5,0,0</v>
      </c>
      <c r="F8" t="str">
        <f>CONCATENATE(614148,",",ROW(BCTHBDVCSH_06615!F8),"|",COLUMN(BCTHBDVCSH_06615!F8),",0",",0")</f>
        <v>614148,8|6,0,0</v>
      </c>
      <c r="G8" t="str">
        <f>CONCATENATE(614125,",",ROW(BCTHBDVCSH_06615!G8),"|",COLUMN(BCTHBDVCSH_06615!G8),",0",",0")</f>
        <v>614125,8|7,0,0</v>
      </c>
      <c r="H8" t="str">
        <f>CONCATENATE(614237,",",ROW(BCTHBDVCSH_06615!H8),"|",COLUMN(BCTHBDVCSH_06615!H8),",0",",0")</f>
        <v>614237,8|8,0,0</v>
      </c>
      <c r="I8" t="str">
        <f>CONCATENATE(614096,",",ROW(BCTHBDVCSH_06615!I8),"|",COLUMN(BCTHBDVCSH_06615!I8),",0",",0")</f>
        <v>614096,8|9,0,0</v>
      </c>
      <c r="J8" t="str">
        <f>CONCATENATE(614187,",",ROW(BCTHBDVCSH_06615!J8),"|",COLUMN(BCTHBDVCSH_06615!J8),",0",",0")</f>
        <v>614187,8|10,0,0</v>
      </c>
      <c r="K8" t="str">
        <f>CONCATENATE(614265,",",ROW(BCTHBDVCSH_06615!K8),"|",COLUMN(BCTHBDVCSH_06615!K8),",0",",0")</f>
        <v>614265,8|11,0,0</v>
      </c>
    </row>
    <row r="9" spans="1:11" x14ac:dyDescent="0.25">
      <c r="A9" t="str">
        <f>CONCATENATE(614141,",",ROW(BCTHBDVCSH_06615!A9),"|",COLUMN(BCTHBDVCSH_06615!A9),",0",",0")</f>
        <v>614141,9|1,0,0</v>
      </c>
      <c r="B9" t="str">
        <f>CONCATENATE(614245,",",ROW(BCTHBDVCSH_06615!B9),"|",COLUMN(BCTHBDVCSH_06615!B9),",0",",0")</f>
        <v>614245,9|2,0,0</v>
      </c>
      <c r="C9" t="str">
        <f>CONCATENATE(614031,",",ROW(BCTHBDVCSH_06615!C9),"|",COLUMN(BCTHBDVCSH_06615!C9),",0",",0")</f>
        <v>614031,9|3,0,0</v>
      </c>
      <c r="D9" t="str">
        <f>CONCATENATE(614037,",",ROW(BCTHBDVCSH_06615!D9),"|",COLUMN(BCTHBDVCSH_06615!D9),",0",",0")</f>
        <v>614037,9|4,0,0</v>
      </c>
      <c r="E9" t="str">
        <f>CONCATENATE(614069,",",ROW(BCTHBDVCSH_06615!E9),"|",COLUMN(BCTHBDVCSH_06615!E9),",0",",0")</f>
        <v>614069,9|5,0,0</v>
      </c>
      <c r="F9" t="str">
        <f>CONCATENATE(614169,",",ROW(BCTHBDVCSH_06615!F9),"|",COLUMN(BCTHBDVCSH_06615!F9),",0",",0")</f>
        <v>614169,9|6,0,0</v>
      </c>
      <c r="G9" t="str">
        <f>CONCATENATE(614126,",",ROW(BCTHBDVCSH_06615!G9),"|",COLUMN(BCTHBDVCSH_06615!G9),",0",",0")</f>
        <v>614126,9|7,0,0</v>
      </c>
      <c r="H9" t="str">
        <f>CONCATENATE(614238,",",ROW(BCTHBDVCSH_06615!H9),"|",COLUMN(BCTHBDVCSH_06615!H9),",0",",0")</f>
        <v>614238,9|8,0,0</v>
      </c>
      <c r="I9" t="str">
        <f>CONCATENATE(614097,",",ROW(BCTHBDVCSH_06615!I9),"|",COLUMN(BCTHBDVCSH_06615!I9),",0",",0")</f>
        <v>614097,9|9,0,0</v>
      </c>
      <c r="J9" t="str">
        <f>CONCATENATE(614188,",",ROW(BCTHBDVCSH_06615!J9),"|",COLUMN(BCTHBDVCSH_06615!J9),",0",",0")</f>
        <v>614188,9|10,0,0</v>
      </c>
      <c r="K9" t="str">
        <f>CONCATENATE(614266,",",ROW(BCTHBDVCSH_06615!K9),"|",COLUMN(BCTHBDVCSH_06615!K9),",0",",0")</f>
        <v>614266,9|11,0,0</v>
      </c>
    </row>
    <row r="10" spans="1:11" x14ac:dyDescent="0.25">
      <c r="A10" t="str">
        <f>CONCATENATE(614218,",",ROW(BCTHBDVCSH_06615!A10),"|",COLUMN(BCTHBDVCSH_06615!A10),",0",",0")</f>
        <v>614218,10|1,0,0</v>
      </c>
      <c r="B10" t="str">
        <f>CONCATENATE(614246,",",ROW(BCTHBDVCSH_06615!B10),"|",COLUMN(BCTHBDVCSH_06615!B10),",0",",0")</f>
        <v>614246,10|2,0,0</v>
      </c>
      <c r="C10" t="str">
        <f>CONCATENATE(614032,",",ROW(BCTHBDVCSH_06615!C10),"|",COLUMN(BCTHBDVCSH_06615!C10),",0",",0")</f>
        <v>614032,10|3,0,0</v>
      </c>
      <c r="D10" t="str">
        <f>CONCATENATE(614038,",",ROW(BCTHBDVCSH_06615!D10),"|",COLUMN(BCTHBDVCSH_06615!D10),",0",",0")</f>
        <v>614038,10|4,0,0</v>
      </c>
      <c r="E10" t="str">
        <f>CONCATENATE(614070,",",ROW(BCTHBDVCSH_06615!E10),"|",COLUMN(BCTHBDVCSH_06615!E10),",0",",0")</f>
        <v>614070,10|5,0,0</v>
      </c>
      <c r="F10" t="str">
        <f>CONCATENATE(614170,",",ROW(BCTHBDVCSH_06615!F10),"|",COLUMN(BCTHBDVCSH_06615!F10),",0",",0")</f>
        <v>614170,10|6,0,0</v>
      </c>
      <c r="G10" t="str">
        <f>CONCATENATE(614127,",",ROW(BCTHBDVCSH_06615!G10),"|",COLUMN(BCTHBDVCSH_06615!G10),",0",",0")</f>
        <v>614127,10|7,0,0</v>
      </c>
      <c r="H10" t="str">
        <f>CONCATENATE(614239,",",ROW(BCTHBDVCSH_06615!H10),"|",COLUMN(BCTHBDVCSH_06615!H10),",0",",0")</f>
        <v>614239,10|8,0,0</v>
      </c>
      <c r="I10" t="str">
        <f>CONCATENATE(614098,",",ROW(BCTHBDVCSH_06615!I10),"|",COLUMN(BCTHBDVCSH_06615!I10),",0",",0")</f>
        <v>614098,10|9,0,0</v>
      </c>
      <c r="J10" t="str">
        <f>CONCATENATE(614189,",",ROW(BCTHBDVCSH_06615!J10),"|",COLUMN(BCTHBDVCSH_06615!J10),",0",",0")</f>
        <v>614189,10|10,0,0</v>
      </c>
      <c r="K10" t="str">
        <f>CONCATENATE(614267,",",ROW(BCTHBDVCSH_06615!K10),"|",COLUMN(BCTHBDVCSH_06615!K10),",0",",0")</f>
        <v>614267,10|11,0,0</v>
      </c>
    </row>
    <row r="11" spans="1:11" x14ac:dyDescent="0.25">
      <c r="A11" t="str">
        <f>CONCATENATE(614082,",",ROW(BCTHBDVCSH_06615!A11),"|",COLUMN(BCTHBDVCSH_06615!A11),",0",",0")</f>
        <v>614082,11|1,0,0</v>
      </c>
      <c r="B11" t="str">
        <f>CONCATENATE(614247,",",ROW(BCTHBDVCSH_06615!B11),"|",COLUMN(BCTHBDVCSH_06615!B11),",0",",0")</f>
        <v>614247,11|2,0,0</v>
      </c>
      <c r="C11" t="str">
        <f>CONCATENATE(614033,",",ROW(BCTHBDVCSH_06615!C11),"|",COLUMN(BCTHBDVCSH_06615!C11),",0",",0")</f>
        <v>614033,11|3,0,0</v>
      </c>
      <c r="D11" t="str">
        <f>CONCATENATE(614039,",",ROW(BCTHBDVCSH_06615!D11),"|",COLUMN(BCTHBDVCSH_06615!D11),",0",",0")</f>
        <v>614039,11|4,0,0</v>
      </c>
      <c r="E11" t="str">
        <f>CONCATENATE(614071,",",ROW(BCTHBDVCSH_06615!E11),"|",COLUMN(BCTHBDVCSH_06615!E11),",0",",0")</f>
        <v>614071,11|5,0,0</v>
      </c>
      <c r="F11" t="str">
        <f>CONCATENATE(614179,",",ROW(BCTHBDVCSH_06615!F11),"|",COLUMN(BCTHBDVCSH_06615!F11),",0",",0")</f>
        <v>614179,11|6,0,0</v>
      </c>
      <c r="G11" t="str">
        <f>CONCATENATE(614130,",",ROW(BCTHBDVCSH_06615!G11),"|",COLUMN(BCTHBDVCSH_06615!G11),",0",",0")</f>
        <v>614130,11|7,0,0</v>
      </c>
      <c r="H11" t="str">
        <f>CONCATENATE(614240,",",ROW(BCTHBDVCSH_06615!H11),"|",COLUMN(BCTHBDVCSH_06615!H11),",0",",0")</f>
        <v>614240,11|8,0,0</v>
      </c>
      <c r="I11" t="str">
        <f>CONCATENATE(614099,",",ROW(BCTHBDVCSH_06615!I11),"|",COLUMN(BCTHBDVCSH_06615!I11),",0",",0")</f>
        <v>614099,11|9,0,0</v>
      </c>
      <c r="J11" t="str">
        <f>CONCATENATE(614190,",",ROW(BCTHBDVCSH_06615!J11),"|",COLUMN(BCTHBDVCSH_06615!J11),",0",",0")</f>
        <v>614190,11|10,0,0</v>
      </c>
      <c r="K11" t="str">
        <f>CONCATENATE(614210,",",ROW(BCTHBDVCSH_06615!K11),"|",COLUMN(BCTHBDVCSH_06615!K11),",0",",0")</f>
        <v>614210,11|11,0,0</v>
      </c>
    </row>
    <row r="12" spans="1:11" x14ac:dyDescent="0.25">
      <c r="A12" t="str">
        <f>CONCATENATE(614083,",",ROW(BCTHBDVCSH_06615!A12),"|",COLUMN(BCTHBDVCSH_06615!A12),",0",",0")</f>
        <v>614083,12|1,0,0</v>
      </c>
      <c r="B12" t="str">
        <f>CONCATENATE(614248,",",ROW(BCTHBDVCSH_06615!B12),"|",COLUMN(BCTHBDVCSH_06615!B12),",0",",0")</f>
        <v>614248,12|2,0,0</v>
      </c>
      <c r="C12" t="str">
        <f>CONCATENATE(614153,",",ROW(BCTHBDVCSH_06615!C12),"|",COLUMN(BCTHBDVCSH_06615!C12),",0",",0")</f>
        <v>614153,12|3,0,0</v>
      </c>
      <c r="D12" t="str">
        <f>CONCATENATE(614040,",",ROW(BCTHBDVCSH_06615!D12),"|",COLUMN(BCTHBDVCSH_06615!D12),",0",",0")</f>
        <v>614040,12|4,0,0</v>
      </c>
      <c r="E12" t="str">
        <f>CONCATENATE(614076,",",ROW(BCTHBDVCSH_06615!E12),"|",COLUMN(BCTHBDVCSH_06615!E12),",0",",0")</f>
        <v>614076,12|5,0,0</v>
      </c>
      <c r="F12" t="str">
        <f>CONCATENATE(614048,",",ROW(BCTHBDVCSH_06615!F12),"|",COLUMN(BCTHBDVCSH_06615!F12),",0",",0")</f>
        <v>614048,12|6,0,0</v>
      </c>
      <c r="G12" t="str">
        <f>CONCATENATE(614131,",",ROW(BCTHBDVCSH_06615!G12),"|",COLUMN(BCTHBDVCSH_06615!G12),",0",",0")</f>
        <v>614131,12|7,0,0</v>
      </c>
      <c r="H12" t="str">
        <f>CONCATENATE(614241,",",ROW(BCTHBDVCSH_06615!H12),"|",COLUMN(BCTHBDVCSH_06615!H12),",0",",0")</f>
        <v>614241,12|8,0,0</v>
      </c>
      <c r="I12" t="str">
        <f>CONCATENATE(614100,",",ROW(BCTHBDVCSH_06615!I12),"|",COLUMN(BCTHBDVCSH_06615!I12),",0",",0")</f>
        <v>614100,12|9,0,0</v>
      </c>
      <c r="J12" t="str">
        <f>CONCATENATE(614191,",",ROW(BCTHBDVCSH_06615!J12),"|",COLUMN(BCTHBDVCSH_06615!J12),",0",",0")</f>
        <v>614191,12|10,0,0</v>
      </c>
      <c r="K12" t="str">
        <f>CONCATENATE(614211,",",ROW(BCTHBDVCSH_06615!K12),"|",COLUMN(BCTHBDVCSH_06615!K12),",0",",0")</f>
        <v>614211,12|11,0,0</v>
      </c>
    </row>
    <row r="13" spans="1:11" x14ac:dyDescent="0.25">
      <c r="A13" t="str">
        <f>CONCATENATE(614084,",",ROW(BCTHBDVCSH_06615!A13),"|",COLUMN(BCTHBDVCSH_06615!A13),",0",",0")</f>
        <v>614084,13|1,0,0</v>
      </c>
      <c r="B13" t="str">
        <f>CONCATENATE(614249,",",ROW(BCTHBDVCSH_06615!B13),"|",COLUMN(BCTHBDVCSH_06615!B13),",0",",0")</f>
        <v>614249,13|2,0,0</v>
      </c>
      <c r="C13" t="str">
        <f>CONCATENATE(614154,",",ROW(BCTHBDVCSH_06615!C13),"|",COLUMN(BCTHBDVCSH_06615!C13),",0",",0")</f>
        <v>614154,13|3,0,0</v>
      </c>
      <c r="D13" t="str">
        <f>CONCATENATE(614041,",",ROW(BCTHBDVCSH_06615!D13),"|",COLUMN(BCTHBDVCSH_06615!D13),",0",",0")</f>
        <v>614041,13|4,0,0</v>
      </c>
      <c r="E13" t="str">
        <f>CONCATENATE(614175,",",ROW(BCTHBDVCSH_06615!E13),"|",COLUMN(BCTHBDVCSH_06615!E13),",0",",0")</f>
        <v>614175,13|5,0,0</v>
      </c>
      <c r="F13" t="str">
        <f>CONCATENATE(614049,",",ROW(BCTHBDVCSH_06615!F13),"|",COLUMN(BCTHBDVCSH_06615!F13),",0",",0")</f>
        <v>614049,13|6,0,0</v>
      </c>
      <c r="G13" t="str">
        <f>CONCATENATE(614132,",",ROW(BCTHBDVCSH_06615!G13),"|",COLUMN(BCTHBDVCSH_06615!G13),",0",",0")</f>
        <v>614132,13|7,0,0</v>
      </c>
      <c r="H13" t="str">
        <f>CONCATENATE(614242,",",ROW(BCTHBDVCSH_06615!H13),"|",COLUMN(BCTHBDVCSH_06615!H13),",0",",0")</f>
        <v>614242,13|8,0,0</v>
      </c>
      <c r="I13" t="str">
        <f>CONCATENATE(614101,",",ROW(BCTHBDVCSH_06615!I13),"|",COLUMN(BCTHBDVCSH_06615!I13),",0",",0")</f>
        <v>614101,13|9,0,0</v>
      </c>
      <c r="J13" t="str">
        <f>CONCATENATE(614192,",",ROW(BCTHBDVCSH_06615!J13),"|",COLUMN(BCTHBDVCSH_06615!J13),",0",",0")</f>
        <v>614192,13|10,0,0</v>
      </c>
      <c r="K13" t="str">
        <f>CONCATENATE(614021,",",ROW(BCTHBDVCSH_06615!K13),"|",COLUMN(BCTHBDVCSH_06615!K13),",0",",0")</f>
        <v>614021,13|11,0,0</v>
      </c>
    </row>
    <row r="14" spans="1:11" x14ac:dyDescent="0.25">
      <c r="A14" t="str">
        <f>CONCATENATE(614219,",",ROW(BCTHBDVCSH_06615!A14),"|",COLUMN(BCTHBDVCSH_06615!A14),",0",",0")</f>
        <v>614219,14|1,0,0</v>
      </c>
      <c r="B14" t="str">
        <f>CONCATENATE(614250,",",ROW(BCTHBDVCSH_06615!B14),"|",COLUMN(BCTHBDVCSH_06615!B14),",0",",0")</f>
        <v>614250,14|2,0,0</v>
      </c>
      <c r="C14" t="str">
        <f>CONCATENATE(614155,",",ROW(BCTHBDVCSH_06615!C14),"|",COLUMN(BCTHBDVCSH_06615!C14),",0",",0")</f>
        <v>614155,14|3,0,0</v>
      </c>
      <c r="D14" t="str">
        <f>CONCATENATE(614042,",",ROW(BCTHBDVCSH_06615!D14),"|",COLUMN(BCTHBDVCSH_06615!D14),",0",",0")</f>
        <v>614042,14|4,0,0</v>
      </c>
      <c r="E14" t="str">
        <f>CONCATENATE(614176,",",ROW(BCTHBDVCSH_06615!E14),"|",COLUMN(BCTHBDVCSH_06615!E14),",0",",0")</f>
        <v>614176,14|5,0,0</v>
      </c>
      <c r="F14" t="str">
        <f>CONCATENATE(614050,",",ROW(BCTHBDVCSH_06615!F14),"|",COLUMN(BCTHBDVCSH_06615!F14),",0",",0")</f>
        <v>614050,14|6,0,0</v>
      </c>
      <c r="G14" t="str">
        <f>CONCATENATE(614133,",",ROW(BCTHBDVCSH_06615!G14),"|",COLUMN(BCTHBDVCSH_06615!G14),",0",",0")</f>
        <v>614133,14|7,0,0</v>
      </c>
      <c r="H14" t="str">
        <f>CONCATENATE(614194,",",ROW(BCTHBDVCSH_06615!H14),"|",COLUMN(BCTHBDVCSH_06615!H14),",0",",0")</f>
        <v>614194,14|8,0,0</v>
      </c>
      <c r="I14" t="str">
        <f>CONCATENATE(614102,",",ROW(BCTHBDVCSH_06615!I14),"|",COLUMN(BCTHBDVCSH_06615!I14),",0",",0")</f>
        <v>614102,14|9,0,0</v>
      </c>
      <c r="J14" t="str">
        <f>CONCATENATE(614193,",",ROW(BCTHBDVCSH_06615!J14),"|",COLUMN(BCTHBDVCSH_06615!J14),",0",",0")</f>
        <v>614193,14|10,0,0</v>
      </c>
      <c r="K14" t="str">
        <f>CONCATENATE(614212,",",ROW(BCTHBDVCSH_06615!K14),"|",COLUMN(BCTHBDVCSH_06615!K14),",0",",0")</f>
        <v>614212,14|11,0,0</v>
      </c>
    </row>
    <row r="15" spans="1:11" x14ac:dyDescent="0.25">
      <c r="A15" t="str">
        <f>CONCATENATE(614224,",",ROW(BCTHBDVCSH_06615!A15),"|",COLUMN(BCTHBDVCSH_06615!A15),",0",",0")</f>
        <v>614224,15|1,0,0</v>
      </c>
      <c r="B15" t="str">
        <f>CONCATENATE(614159,",",ROW(BCTHBDVCSH_06615!B15),"|",COLUMN(BCTHBDVCSH_06615!B15),",0",",0")</f>
        <v>614159,15|2,0,0</v>
      </c>
      <c r="C15" t="str">
        <f>CONCATENATE(614156,",",ROW(BCTHBDVCSH_06615!C15),"|",COLUMN(BCTHBDVCSH_06615!C15),",0",",0")</f>
        <v>614156,15|3,0,0</v>
      </c>
      <c r="D15" t="str">
        <f>CONCATENATE(614043,",",ROW(BCTHBDVCSH_06615!D15),"|",COLUMN(BCTHBDVCSH_06615!D15),",0",",0")</f>
        <v>614043,15|4,0,0</v>
      </c>
      <c r="E15" t="str">
        <f>CONCATENATE(614177,",",ROW(BCTHBDVCSH_06615!E15),"|",COLUMN(BCTHBDVCSH_06615!E15),",0",",0")</f>
        <v>614177,15|5,0,0</v>
      </c>
      <c r="F15" t="str">
        <f>CONCATENATE(614051,",",ROW(BCTHBDVCSH_06615!F15),"|",COLUMN(BCTHBDVCSH_06615!F15),",0",",0")</f>
        <v>614051,15|6,0,0</v>
      </c>
      <c r="G15" t="str">
        <f>CONCATENATE(614134,",",ROW(BCTHBDVCSH_06615!G15),"|",COLUMN(BCTHBDVCSH_06615!G15),",0",",0")</f>
        <v>614134,15|7,0,0</v>
      </c>
      <c r="H15" t="str">
        <f>CONCATENATE(614195,",",ROW(BCTHBDVCSH_06615!H15),"|",COLUMN(BCTHBDVCSH_06615!H15),",0",",0")</f>
        <v>614195,15|8,0,0</v>
      </c>
      <c r="I15" t="str">
        <f>CONCATENATE(614103,",",ROW(BCTHBDVCSH_06615!I15),"|",COLUMN(BCTHBDVCSH_06615!I15),",0",",0")</f>
        <v>614103,15|9,0,0</v>
      </c>
      <c r="J15" t="str">
        <f>CONCATENATE(614077,",",ROW(BCTHBDVCSH_06615!J15),"|",COLUMN(BCTHBDVCSH_06615!J15),",0",",0")</f>
        <v>614077,15|10,0,0</v>
      </c>
      <c r="K15" t="str">
        <f>CONCATENATE(614022,",",ROW(BCTHBDVCSH_06615!K15),"|",COLUMN(BCTHBDVCSH_06615!K15),",0",",0")</f>
        <v>614022,15|11,0,0</v>
      </c>
    </row>
    <row r="16" spans="1:11" x14ac:dyDescent="0.25">
      <c r="A16" t="str">
        <f>CONCATENATE(614137,",",ROW(BCTHBDVCSH_06615!A16),"|",COLUMN(BCTHBDVCSH_06615!A16),",0",",0")</f>
        <v>614137,16|1,0,0</v>
      </c>
      <c r="B16" t="str">
        <f>CONCATENATE(614160,",",ROW(BCTHBDVCSH_06615!B16),"|",COLUMN(BCTHBDVCSH_06615!B16),",0",",0")</f>
        <v>614160,16|2,0,0</v>
      </c>
      <c r="C16" t="str">
        <f>CONCATENATE(614157,",",ROW(BCTHBDVCSH_06615!C16),"|",COLUMN(BCTHBDVCSH_06615!C16),",0",",0")</f>
        <v>614157,16|3,0,0</v>
      </c>
      <c r="D16" t="str">
        <f>CONCATENATE(614044,",",ROW(BCTHBDVCSH_06615!D16),"|",COLUMN(BCTHBDVCSH_06615!D16),",0",",0")</f>
        <v>614044,16|4,0,0</v>
      </c>
      <c r="E16" t="str">
        <f>CONCATENATE(614251,",",ROW(BCTHBDVCSH_06615!E16),"|",COLUMN(BCTHBDVCSH_06615!E16),",0",",0")</f>
        <v>614251,16|5,0,0</v>
      </c>
      <c r="F16" t="str">
        <f>CONCATENATE(614052,",",ROW(BCTHBDVCSH_06615!F16),"|",COLUMN(BCTHBDVCSH_06615!F16),",0",",0")</f>
        <v>614052,16|6,0,0</v>
      </c>
      <c r="G16" t="str">
        <f>CONCATENATE(614135,",",ROW(BCTHBDVCSH_06615!G16),"|",COLUMN(BCTHBDVCSH_06615!G16),",0",",0")</f>
        <v>614135,16|7,0,0</v>
      </c>
      <c r="H16" t="str">
        <f>CONCATENATE(614196,",",ROW(BCTHBDVCSH_06615!H16),"|",COLUMN(BCTHBDVCSH_06615!H16),",0",",0")</f>
        <v>614196,16|8,0,0</v>
      </c>
      <c r="I16" t="str">
        <f>CONCATENATE(614104,",",ROW(BCTHBDVCSH_06615!I16),"|",COLUMN(BCTHBDVCSH_06615!I16),",0",",0")</f>
        <v>614104,16|9,0,0</v>
      </c>
      <c r="J16" t="str">
        <f>CONCATENATE(614143,",",ROW(BCTHBDVCSH_06615!J16),"|",COLUMN(BCTHBDVCSH_06615!J16),",0",",0")</f>
        <v>614143,16|10,0,0</v>
      </c>
      <c r="K16" t="str">
        <f>CONCATENATE(614023,",",ROW(BCTHBDVCSH_06615!K16),"|",COLUMN(BCTHBDVCSH_06615!K16),",0",",0")</f>
        <v>614023,16|11,0,0</v>
      </c>
    </row>
    <row r="17" spans="1:11" x14ac:dyDescent="0.25">
      <c r="A17" t="str">
        <f>CONCATENATE(614085,",",ROW(BCTHBDVCSH_06615!A17),"|",COLUMN(BCTHBDVCSH_06615!A17),",0",",0")</f>
        <v>614085,17|1,0,0</v>
      </c>
      <c r="B17" t="str">
        <f>CONCATENATE(614161,",",ROW(BCTHBDVCSH_06615!B17),"|",COLUMN(BCTHBDVCSH_06615!B17),",0",",0")</f>
        <v>614161,17|2,0,0</v>
      </c>
      <c r="C17" t="str">
        <f>CONCATENATE(614158,",",ROW(BCTHBDVCSH_06615!C17),"|",COLUMN(BCTHBDVCSH_06615!C17),",0",",0")</f>
        <v>614158,17|3,0,0</v>
      </c>
      <c r="D17" t="str">
        <f>CONCATENATE(614045,",",ROW(BCTHBDVCSH_06615!D17),"|",COLUMN(BCTHBDVCSH_06615!D17),",0",",0")</f>
        <v>614045,17|4,0,0</v>
      </c>
      <c r="E17" t="str">
        <f>CONCATENATE(614252,",",ROW(BCTHBDVCSH_06615!E17),"|",COLUMN(BCTHBDVCSH_06615!E17),",0",",0")</f>
        <v>614252,17|5,0,0</v>
      </c>
      <c r="F17" t="str">
        <f>CONCATENATE(614053,",",ROW(BCTHBDVCSH_06615!F17),"|",COLUMN(BCTHBDVCSH_06615!F17),",0",",0")</f>
        <v>614053,17|6,0,0</v>
      </c>
      <c r="G17" t="str">
        <f>CONCATENATE(614136,",",ROW(BCTHBDVCSH_06615!G17),"|",COLUMN(BCTHBDVCSH_06615!G17),",0",",0")</f>
        <v>614136,17|7,0,0</v>
      </c>
      <c r="H17" t="str">
        <f>CONCATENATE(614197,",",ROW(BCTHBDVCSH_06615!H17),"|",COLUMN(BCTHBDVCSH_06615!H17),",0",",0")</f>
        <v>614197,17|8,0,0</v>
      </c>
      <c r="I17" t="str">
        <f>CONCATENATE(614105,",",ROW(BCTHBDVCSH_06615!I17),"|",COLUMN(BCTHBDVCSH_06615!I17),",0",",0")</f>
        <v>614105,17|9,0,0</v>
      </c>
      <c r="J17" t="str">
        <f>CONCATENATE(614144,",",ROW(BCTHBDVCSH_06615!J17),"|",COLUMN(BCTHBDVCSH_06615!J17),",0",",0")</f>
        <v>614144,17|10,0,0</v>
      </c>
      <c r="K17" t="str">
        <f>CONCATENATE(614149,",",ROW(BCTHBDVCSH_06615!K17),"|",COLUMN(BCTHBDVCSH_06615!K17),",0",",0")</f>
        <v>614149,17|11,0,0</v>
      </c>
    </row>
    <row r="18" spans="1:11" x14ac:dyDescent="0.25">
      <c r="A18" t="str">
        <f>CONCATENATE(614220,",",ROW(BCTHBDVCSH_06615!A18),"|",COLUMN(BCTHBDVCSH_06615!A18),",0",",0")</f>
        <v>614220,18|1,0,0</v>
      </c>
      <c r="B18" t="str">
        <f>CONCATENATE(614162,",",ROW(BCTHBDVCSH_06615!B18),"|",COLUMN(BCTHBDVCSH_06615!B18),",0",",0")</f>
        <v>614162,18|2,0,0</v>
      </c>
      <c r="C18" t="str">
        <f>CONCATENATE(614178,",",ROW(BCTHBDVCSH_06615!C18),"|",COLUMN(BCTHBDVCSH_06615!C18),",0",",0")</f>
        <v>614178,18|3,0,0</v>
      </c>
      <c r="D18" t="str">
        <f>CONCATENATE(614046,",",ROW(BCTHBDVCSH_06615!D18),"|",COLUMN(BCTHBDVCSH_06615!D18),",0",",0")</f>
        <v>614046,18|4,0,0</v>
      </c>
      <c r="E18" t="str">
        <f>CONCATENATE(614253,",",ROW(BCTHBDVCSH_06615!E18),"|",COLUMN(BCTHBDVCSH_06615!E18),",0",",0")</f>
        <v>614253,18|5,0,0</v>
      </c>
      <c r="F18" t="str">
        <f>CONCATENATE(614054,",",ROW(BCTHBDVCSH_06615!F18),"|",COLUMN(BCTHBDVCSH_06615!F18),",0",",0")</f>
        <v>614054,18|6,0,0</v>
      </c>
      <c r="G18" t="str">
        <f>CONCATENATE(614142,",",ROW(BCTHBDVCSH_06615!G18),"|",COLUMN(BCTHBDVCSH_06615!G18),",0",",0")</f>
        <v>614142,18|7,0,0</v>
      </c>
      <c r="H18" t="str">
        <f>CONCATENATE(614198,",",ROW(BCTHBDVCSH_06615!H18),"|",COLUMN(BCTHBDVCSH_06615!H18),",0",",0")</f>
        <v>614198,18|8,0,0</v>
      </c>
      <c r="I18" t="str">
        <f>CONCATENATE(614106,",",ROW(BCTHBDVCSH_06615!I18),"|",COLUMN(BCTHBDVCSH_06615!I18),",0",",0")</f>
        <v>614106,18|9,0,0</v>
      </c>
      <c r="J18" t="str">
        <f>CONCATENATE(614145,",",ROW(BCTHBDVCSH_06615!J18),"|",COLUMN(BCTHBDVCSH_06615!J18),",0",",0")</f>
        <v>614145,18|10,0,0</v>
      </c>
      <c r="K18" t="str">
        <f>CONCATENATE(614150,",",ROW(BCTHBDVCSH_06615!K18),"|",COLUMN(BCTHBDVCSH_06615!K18),",0",",0")</f>
        <v>614150,18|11,0,0</v>
      </c>
    </row>
    <row r="19" spans="1:11" x14ac:dyDescent="0.25">
      <c r="A19" t="str">
        <f>CONCATENATE(614140,",",ROW(BCTHBDVCSH_06615!A19),"|",COLUMN(BCTHBDVCSH_06615!A19),",0",",0")</f>
        <v>614140,19|1,0,0</v>
      </c>
      <c r="B19" t="str">
        <f>CONCATENATE(614163,",",ROW(BCTHBDVCSH_06615!B19),"|",COLUMN(BCTHBDVCSH_06615!B19),",0",",0")</f>
        <v>614163,19|2,0,0</v>
      </c>
      <c r="C19" t="str">
        <f>CONCATENATE(614113,",",ROW(BCTHBDVCSH_06615!C19),"|",COLUMN(BCTHBDVCSH_06615!C19),",0",",0")</f>
        <v>614113,19|3,0,0</v>
      </c>
      <c r="D19" t="str">
        <f>CONCATENATE(614047,",",ROW(BCTHBDVCSH_06615!D19),"|",COLUMN(BCTHBDVCSH_06615!D19),",0",",0")</f>
        <v>614047,19|4,0,0</v>
      </c>
      <c r="E19" t="str">
        <f>CONCATENATE(614254,",",ROW(BCTHBDVCSH_06615!E19),"|",COLUMN(BCTHBDVCSH_06615!E19),",0",",0")</f>
        <v>614254,19|5,0,0</v>
      </c>
      <c r="F19" t="str">
        <f>CONCATENATE(614055,",",ROW(BCTHBDVCSH_06615!F19),"|",COLUMN(BCTHBDVCSH_06615!F19),",0",",0")</f>
        <v>614055,19|6,0,0</v>
      </c>
      <c r="G19" t="str">
        <f>CONCATENATE(614225,",",ROW(BCTHBDVCSH_06615!G19),"|",COLUMN(BCTHBDVCSH_06615!G19),",0",",0")</f>
        <v>614225,19|7,0,0</v>
      </c>
      <c r="H19" t="str">
        <f>CONCATENATE(614199,",",ROW(BCTHBDVCSH_06615!H19),"|",COLUMN(BCTHBDVCSH_06615!H19),",0",",0")</f>
        <v>614199,19|8,0,0</v>
      </c>
      <c r="I19" t="str">
        <f>CONCATENATE(614107,",",ROW(BCTHBDVCSH_06615!I19),"|",COLUMN(BCTHBDVCSH_06615!I19),",0",",0")</f>
        <v>614107,19|9,0,0</v>
      </c>
      <c r="J19" t="str">
        <f>CONCATENATE(614036,",",ROW(BCTHBDVCSH_06615!J19),"|",COLUMN(BCTHBDVCSH_06615!J19),",0",",0")</f>
        <v>614036,19|10,0,0</v>
      </c>
      <c r="K19" t="str">
        <f>CONCATENATE(614213,",",ROW(BCTHBDVCSH_06615!K19),"|",COLUMN(BCTHBDVCSH_06615!K19),",0",",0")</f>
        <v>614213,19|11,0,0</v>
      </c>
    </row>
    <row r="20" spans="1:11" x14ac:dyDescent="0.25">
      <c r="A20" t="str">
        <f>CONCATENATE(614086,",",ROW(BCTHBDVCSH_06615!A20),"|",COLUMN(BCTHBDVCSH_06615!A20),",0",",0")</f>
        <v>614086,20|1,0,0</v>
      </c>
      <c r="B20" t="str">
        <f>CONCATENATE(614164,",",ROW(BCTHBDVCSH_06615!B20),"|",COLUMN(BCTHBDVCSH_06615!B20),",0",",0")</f>
        <v>614164,20|2,0,0</v>
      </c>
      <c r="C20" t="str">
        <f>CONCATENATE(614114,",",ROW(BCTHBDVCSH_06615!C20),"|",COLUMN(BCTHBDVCSH_06615!C20),",0",",0")</f>
        <v>614114,20|3,0,0</v>
      </c>
      <c r="D20" t="str">
        <f>CONCATENATE(614057,",",ROW(BCTHBDVCSH_06615!D20),"|",COLUMN(BCTHBDVCSH_06615!D20),",0",",0")</f>
        <v>614057,20|4,0,0</v>
      </c>
      <c r="E20" t="str">
        <f>CONCATENATE(614255,",",ROW(BCTHBDVCSH_06615!E20),"|",COLUMN(BCTHBDVCSH_06615!E20),",0",",0")</f>
        <v>614255,20|5,0,0</v>
      </c>
      <c r="F20" t="str">
        <f>CONCATENATE(614056,",",ROW(BCTHBDVCSH_06615!F20),"|",COLUMN(BCTHBDVCSH_06615!F20),",0",",0")</f>
        <v>614056,20|6,0,0</v>
      </c>
      <c r="G20" t="str">
        <f>CONCATENATE(614226,",",ROW(BCTHBDVCSH_06615!G20),"|",COLUMN(BCTHBDVCSH_06615!G20),",0",",0")</f>
        <v>614226,20|7,0,0</v>
      </c>
      <c r="H20" t="str">
        <f>CONCATENATE(614200,",",ROW(BCTHBDVCSH_06615!H20),"|",COLUMN(BCTHBDVCSH_06615!H20),",0",",0")</f>
        <v>614200,20|8,0,0</v>
      </c>
      <c r="I20" t="str">
        <f>CONCATENATE(614108,",",ROW(BCTHBDVCSH_06615!I20),"|",COLUMN(BCTHBDVCSH_06615!I20),",0",",0")</f>
        <v>614108,20|9,0,0</v>
      </c>
      <c r="J20" t="str">
        <f>CONCATENATE(614180,",",ROW(BCTHBDVCSH_06615!J20),"|",COLUMN(BCTHBDVCSH_06615!J20),",0",",0")</f>
        <v>614180,20|10,0,0</v>
      </c>
      <c r="K20" t="str">
        <f>CONCATENATE(614214,",",ROW(BCTHBDVCSH_06615!K20),"|",COLUMN(BCTHBDVCSH_06615!K20),",0",",0")</f>
        <v>614214,20|11,0,0</v>
      </c>
    </row>
    <row r="21" spans="1:11" x14ac:dyDescent="0.25">
      <c r="A21" t="str">
        <f>CONCATENATE(614078,",",ROW(BCTHBDVCSH_06615!A21),"|",COLUMN(BCTHBDVCSH_06615!A21),",0",",0")</f>
        <v>614078,21|1,0,0</v>
      </c>
      <c r="B21" t="str">
        <f>CONCATENATE(614165,",",ROW(BCTHBDVCSH_06615!B21),"|",COLUMN(BCTHBDVCSH_06615!B21),",0",",0")</f>
        <v>614165,21|2,0,0</v>
      </c>
      <c r="C21" t="str">
        <f>CONCATENATE(614115,",",ROW(BCTHBDVCSH_06615!C21),"|",COLUMN(BCTHBDVCSH_06615!C21),",0",",0")</f>
        <v>614115,21|3,0,0</v>
      </c>
      <c r="D21" t="str">
        <f>CONCATENATE(614058,",",ROW(BCTHBDVCSH_06615!D21),"|",COLUMN(BCTHBDVCSH_06615!D21),",0",",0")</f>
        <v>614058,21|4,0,0</v>
      </c>
      <c r="E21" t="str">
        <f>CONCATENATE(614256,",",ROW(BCTHBDVCSH_06615!E21),"|",COLUMN(BCTHBDVCSH_06615!E21),",0",",0")</f>
        <v>614256,21|5,0,0</v>
      </c>
      <c r="F21" t="str">
        <f>CONCATENATE(614072,",",ROW(BCTHBDVCSH_06615!F21),"|",COLUMN(BCTHBDVCSH_06615!F21),",0",",0")</f>
        <v>614072,21|6,0,0</v>
      </c>
      <c r="G21" t="str">
        <f>CONCATENATE(614227,",",ROW(BCTHBDVCSH_06615!G21),"|",COLUMN(BCTHBDVCSH_06615!G21),",0",",0")</f>
        <v>614227,21|7,0,0</v>
      </c>
      <c r="H21" t="str">
        <f>CONCATENATE(614201,",",ROW(BCTHBDVCSH_06615!H21),"|",COLUMN(BCTHBDVCSH_06615!H21),",0",",0")</f>
        <v>614201,21|8,0,0</v>
      </c>
      <c r="I21" t="str">
        <f>CONCATENATE(614109,",",ROW(BCTHBDVCSH_06615!I21),"|",COLUMN(BCTHBDVCSH_06615!I21),",0",",0")</f>
        <v>614109,21|9,0,0</v>
      </c>
      <c r="J21" t="str">
        <f>CONCATENATE(614181,",",ROW(BCTHBDVCSH_06615!J21),"|",COLUMN(BCTHBDVCSH_06615!J21),",0",",0")</f>
        <v>614181,21|10,0,0</v>
      </c>
      <c r="K21" t="str">
        <f>CONCATENATE(614024,",",ROW(BCTHBDVCSH_06615!K21),"|",COLUMN(BCTHBDVCSH_06615!K21),",0",",0")</f>
        <v>614024,21|11,0,0</v>
      </c>
    </row>
    <row r="22" spans="1:11" x14ac:dyDescent="0.25">
      <c r="A22" t="str">
        <f>CONCATENATE(614087,",",ROW(BCTHBDVCSH_06615!A22),"|",COLUMN(BCTHBDVCSH_06615!A22),",0",",0")</f>
        <v>614087,22|1,0,0</v>
      </c>
      <c r="B22" t="str">
        <f>CONCATENATE(614166,",",ROW(BCTHBDVCSH_06615!B22),"|",COLUMN(BCTHBDVCSH_06615!B22),",0",",0")</f>
        <v>614166,22|2,0,0</v>
      </c>
      <c r="C22" t="str">
        <f>CONCATENATE(614116,",",ROW(BCTHBDVCSH_06615!C22),"|",COLUMN(BCTHBDVCSH_06615!C22),",0",",0")</f>
        <v>614116,22|3,0,0</v>
      </c>
      <c r="D22" t="str">
        <f>CONCATENATE(614059,",",ROW(BCTHBDVCSH_06615!D22),"|",COLUMN(BCTHBDVCSH_06615!D22),",0",",0")</f>
        <v>614059,22|4,0,0</v>
      </c>
      <c r="E22" t="str">
        <f>CONCATENATE(614257,",",ROW(BCTHBDVCSH_06615!E22),"|",COLUMN(BCTHBDVCSH_06615!E22),",0",",0")</f>
        <v>614257,22|5,0,0</v>
      </c>
      <c r="F22" t="str">
        <f>CONCATENATE(614073,",",ROW(BCTHBDVCSH_06615!F22),"|",COLUMN(BCTHBDVCSH_06615!F22),",0",",0")</f>
        <v>614073,22|6,0,0</v>
      </c>
      <c r="G22" t="str">
        <f>CONCATENATE(614228,",",ROW(BCTHBDVCSH_06615!G22),"|",COLUMN(BCTHBDVCSH_06615!G22),",0",",0")</f>
        <v>614228,22|7,0,0</v>
      </c>
      <c r="H22" t="str">
        <f>CONCATENATE(614202,",",ROW(BCTHBDVCSH_06615!H22),"|",COLUMN(BCTHBDVCSH_06615!H22),",0",",0")</f>
        <v>614202,22|8,0,0</v>
      </c>
      <c r="I22" t="str">
        <f>CONCATENATE(614110,",",ROW(BCTHBDVCSH_06615!I22),"|",COLUMN(BCTHBDVCSH_06615!I22),",0",",0")</f>
        <v>614110,22|9,0,0</v>
      </c>
      <c r="J22" t="str">
        <f>CONCATENATE(614182,",",ROW(BCTHBDVCSH_06615!J22),"|",COLUMN(BCTHBDVCSH_06615!J22),",0",",0")</f>
        <v>614182,22|10,0,0</v>
      </c>
      <c r="K22" t="str">
        <f>CONCATENATE(614215,",",ROW(BCTHBDVCSH_06615!K22),"|",COLUMN(BCTHBDVCSH_06615!K22),",0",",0")</f>
        <v>614215,22|11,0,0</v>
      </c>
    </row>
    <row r="23" spans="1:11" x14ac:dyDescent="0.25">
      <c r="A23" t="str">
        <f>CONCATENATE(614221,",",ROW(BCTHBDVCSH_06615!A23),"|",COLUMN(BCTHBDVCSH_06615!A23),",0",",0")</f>
        <v>614221,23|1,0,0</v>
      </c>
      <c r="B23" t="str">
        <f>CONCATENATE(614167,",",ROW(BCTHBDVCSH_06615!B23),"|",COLUMN(BCTHBDVCSH_06615!B23),",0",",0")</f>
        <v>614167,23|2,0,0</v>
      </c>
      <c r="C23" t="str">
        <f>CONCATENATE(614117,",",ROW(BCTHBDVCSH_06615!C23),"|",COLUMN(BCTHBDVCSH_06615!C23),",0",",0")</f>
        <v>614117,23|3,0,0</v>
      </c>
      <c r="D23" t="str">
        <f>CONCATENATE(614060,",",ROW(BCTHBDVCSH_06615!D23),"|",COLUMN(BCTHBDVCSH_06615!D23),",0",",0")</f>
        <v>614060,23|4,0,0</v>
      </c>
      <c r="E23" t="str">
        <f>CONCATENATE(614258,",",ROW(BCTHBDVCSH_06615!E23),"|",COLUMN(BCTHBDVCSH_06615!E23),",0",",0")</f>
        <v>614258,23|5,0,0</v>
      </c>
      <c r="F23" t="str">
        <f>CONCATENATE(614074,",",ROW(BCTHBDVCSH_06615!F23),"|",COLUMN(BCTHBDVCSH_06615!F23),",0",",0")</f>
        <v>614074,23|6,0,0</v>
      </c>
      <c r="G23" t="str">
        <f>CONCATENATE(614229,",",ROW(BCTHBDVCSH_06615!G23),"|",COLUMN(BCTHBDVCSH_06615!G23),",0",",0")</f>
        <v>614229,23|7,0,0</v>
      </c>
      <c r="H23" t="str">
        <f>CONCATENATE(614203,",",ROW(BCTHBDVCSH_06615!H23),"|",COLUMN(BCTHBDVCSH_06615!H23),",0",",0")</f>
        <v>614203,23|8,0,0</v>
      </c>
      <c r="I23" t="str">
        <f>CONCATENATE(614111,",",ROW(BCTHBDVCSH_06615!I23),"|",COLUMN(BCTHBDVCSH_06615!I23),",0",",0")</f>
        <v>614111,23|9,0,0</v>
      </c>
      <c r="J23" t="str">
        <f>CONCATENATE(614183,",",ROW(BCTHBDVCSH_06615!J23),"|",COLUMN(BCTHBDVCSH_06615!J23),",0",",0")</f>
        <v>614183,23|10,0,0</v>
      </c>
      <c r="K23" t="str">
        <f>CONCATENATE(614025,",",ROW(BCTHBDVCSH_06615!K23),"|",COLUMN(BCTHBDVCSH_06615!K23),",0",",0")</f>
        <v>614025,23|11,0,0</v>
      </c>
    </row>
    <row r="24" spans="1:11" x14ac:dyDescent="0.25">
      <c r="A24" t="str">
        <f>CONCATENATE(614138,",",ROW(BCTHBDVCSH_06615!A24),"|",COLUMN(BCTHBDVCSH_06615!A24),",0",",0")</f>
        <v>614138,24|1,0,0</v>
      </c>
      <c r="B24" t="str">
        <f>CONCATENATE(614168,",",ROW(BCTHBDVCSH_06615!B24),"|",COLUMN(BCTHBDVCSH_06615!B24),",0",",0")</f>
        <v>614168,24|2,0,0</v>
      </c>
      <c r="C24" t="str">
        <f>CONCATENATE(614118,",",ROW(BCTHBDVCSH_06615!C24),"|",COLUMN(BCTHBDVCSH_06615!C24),",0",",0")</f>
        <v>614118,24|3,0,0</v>
      </c>
      <c r="D24" t="str">
        <f>CONCATENATE(614061,",",ROW(BCTHBDVCSH_06615!D24),"|",COLUMN(BCTHBDVCSH_06615!D24),",0",",0")</f>
        <v>614061,24|4,0,0</v>
      </c>
      <c r="E24" t="str">
        <f>CONCATENATE(614259,",",ROW(BCTHBDVCSH_06615!E24),"|",COLUMN(BCTHBDVCSH_06615!E24),",0",",0")</f>
        <v>614259,24|5,0,0</v>
      </c>
      <c r="F24" t="str">
        <f>CONCATENATE(614075,",",ROW(BCTHBDVCSH_06615!F24),"|",COLUMN(BCTHBDVCSH_06615!F24),",0",",0")</f>
        <v>614075,24|6,0,0</v>
      </c>
      <c r="G24" t="str">
        <f>CONCATENATE(614230,",",ROW(BCTHBDVCSH_06615!G24),"|",COLUMN(BCTHBDVCSH_06615!G24),",0",",0")</f>
        <v>614230,24|7,0,0</v>
      </c>
      <c r="H24" t="str">
        <f>CONCATENATE(614204,",",ROW(BCTHBDVCSH_06615!H24),"|",COLUMN(BCTHBDVCSH_06615!H24),",0",",0")</f>
        <v>614204,24|8,0,0</v>
      </c>
      <c r="I24" t="str">
        <f>CONCATENATE(614112,",",ROW(BCTHBDVCSH_06615!I24),"|",COLUMN(BCTHBDVCSH_06615!I24),",0",",0")</f>
        <v>614112,24|9,0,0</v>
      </c>
      <c r="J24" t="str">
        <f>CONCATENATE(614184,",",ROW(BCTHBDVCSH_06615!J24),"|",COLUMN(BCTHBDVCSH_06615!J24),",0",",0")</f>
        <v>614184,24|10,0,0</v>
      </c>
      <c r="K24" t="str">
        <f>CONCATENATE(614151,",",ROW(BCTHBDVCSH_06615!K24),"|",COLUMN(BCTHBDVCSH_06615!K24),",0",",0")</f>
        <v>614151,24|11,0,0</v>
      </c>
    </row>
    <row r="25" spans="1:11" x14ac:dyDescent="0.25">
      <c r="A25" t="str">
        <f>CONCATENATE(614139,",",ROW(BCTHBDVCSH_06615!A25),"|",COLUMN(BCTHBDVCSH_06615!A25),",0",",0")</f>
        <v>614139,25|1,0,0</v>
      </c>
      <c r="B25" t="str">
        <f>CONCATENATE(614171,",",ROW(BCTHBDVCSH_06615!B25),"|",COLUMN(BCTHBDVCSH_06615!B25),",0",",0")</f>
        <v>614171,25|2,0,0</v>
      </c>
      <c r="C25" t="str">
        <f>CONCATENATE(614119,",",ROW(BCTHBDVCSH_06615!C25),"|",COLUMN(BCTHBDVCSH_06615!C25),",0",",0")</f>
        <v>614119,25|3,0,0</v>
      </c>
      <c r="D25" t="str">
        <f>CONCATENATE(614062,",",ROW(BCTHBDVCSH_06615!D25),"|",COLUMN(BCTHBDVCSH_06615!D25),",0",",0")</f>
        <v>614062,25|4,0,0</v>
      </c>
      <c r="E25" t="str">
        <f>CONCATENATE(614260,",",ROW(BCTHBDVCSH_06615!E25),"|",COLUMN(BCTHBDVCSH_06615!E25),",0",",0")</f>
        <v>614260,25|5,0,0</v>
      </c>
      <c r="F25" t="str">
        <f>CONCATENATE(614090,",",ROW(BCTHBDVCSH_06615!F25),"|",COLUMN(BCTHBDVCSH_06615!F25),",0",",0")</f>
        <v>614090,25|6,0,0</v>
      </c>
      <c r="G25" t="str">
        <f>CONCATENATE(614231,",",ROW(BCTHBDVCSH_06615!G25),"|",COLUMN(BCTHBDVCSH_06615!G25),",0",",0")</f>
        <v>614231,25|7,0,0</v>
      </c>
      <c r="H25" t="str">
        <f>CONCATENATE(614205,",",ROW(BCTHBDVCSH_06615!H25),"|",COLUMN(BCTHBDVCSH_06615!H25),",0",",0")</f>
        <v>614205,25|8,0,0</v>
      </c>
      <c r="I25" t="str">
        <f>CONCATENATE(614088,",",ROW(BCTHBDVCSH_06615!I25),"|",COLUMN(BCTHBDVCSH_06615!I25),",0",",0")</f>
        <v>614088,25|9,0,0</v>
      </c>
      <c r="J25" t="str">
        <f>CONCATENATE(614015,",",ROW(BCTHBDVCSH_06615!J25),"|",COLUMN(BCTHBDVCSH_06615!J25),",0",",0")</f>
        <v>614015,25|10,0,0</v>
      </c>
      <c r="K25" t="str">
        <f>CONCATENATE(614026,",",ROW(BCTHBDVCSH_06615!K25),"|",COLUMN(BCTHBDVCSH_06615!K25),",0",",0")</f>
        <v>614026,25|11,0,0</v>
      </c>
    </row>
    <row r="26" spans="1:11" x14ac:dyDescent="0.25">
      <c r="A26" t="str">
        <f>CONCATENATE(614079,",",ROW(BCTHBDVCSH_06615!A26),"|",COLUMN(BCTHBDVCSH_06615!A26),",0",",0")</f>
        <v>614079,26|1,0,0</v>
      </c>
      <c r="B26" t="str">
        <f>CONCATENATE(614172,",",ROW(BCTHBDVCSH_06615!B26),"|",COLUMN(BCTHBDVCSH_06615!B26),",0",",0")</f>
        <v>614172,26|2,0,0</v>
      </c>
      <c r="C26" t="str">
        <f>CONCATENATE(614120,",",ROW(BCTHBDVCSH_06615!C26),"|",COLUMN(BCTHBDVCSH_06615!C26),",0",",0")</f>
        <v>614120,26|3,0,0</v>
      </c>
      <c r="D26" t="str">
        <f>CONCATENATE(614063,",",ROW(BCTHBDVCSH_06615!D26),"|",COLUMN(BCTHBDVCSH_06615!D26),",0",",0")</f>
        <v>614063,26|4,0,0</v>
      </c>
      <c r="E26" t="str">
        <f>CONCATENATE(614261,",",ROW(BCTHBDVCSH_06615!E26),"|",COLUMN(BCTHBDVCSH_06615!E26),",0",",0")</f>
        <v>614261,26|5,0,0</v>
      </c>
      <c r="F26" t="str">
        <f>CONCATENATE(614091,",",ROW(BCTHBDVCSH_06615!F26),"|",COLUMN(BCTHBDVCSH_06615!F26),",0",",0")</f>
        <v>614091,26|6,0,0</v>
      </c>
      <c r="G26" t="str">
        <f>CONCATENATE(614232,",",ROW(BCTHBDVCSH_06615!G26),"|",COLUMN(BCTHBDVCSH_06615!G26),",0",",0")</f>
        <v>614232,26|7,0,0</v>
      </c>
      <c r="H26" t="str">
        <f>CONCATENATE(614206,",",ROW(BCTHBDVCSH_06615!H26),"|",COLUMN(BCTHBDVCSH_06615!H26),",0",",0")</f>
        <v>614206,26|8,0,0</v>
      </c>
      <c r="I26" t="str">
        <f>CONCATENATE(614089,",",ROW(BCTHBDVCSH_06615!I26),"|",COLUMN(BCTHBDVCSH_06615!I26),",0",",0")</f>
        <v>614089,26|9,0,0</v>
      </c>
      <c r="J26" t="str">
        <f>CONCATENATE(614016,",",ROW(BCTHBDVCSH_06615!J26),"|",COLUMN(BCTHBDVCSH_06615!J26),",0",",0")</f>
        <v>614016,26|10,0,0</v>
      </c>
      <c r="K26" t="str">
        <f>CONCATENATE(614216,",",ROW(BCTHBDVCSH_06615!K26),"|",COLUMN(BCTHBDVCSH_06615!K26),",0",",0")</f>
        <v>614216,26|11,0,0</v>
      </c>
    </row>
    <row r="27" spans="1:11" x14ac:dyDescent="0.25">
      <c r="A27" t="str">
        <f>CONCATENATE(614080,",",ROW(BCTHBDVCSH_06615!A27),"|",COLUMN(BCTHBDVCSH_06615!A27),",0",",0")</f>
        <v>614080,27|1,0,0</v>
      </c>
      <c r="B27" t="str">
        <f>CONCATENATE(614173,",",ROW(BCTHBDVCSH_06615!B27),"|",COLUMN(BCTHBDVCSH_06615!B27),",0",",0")</f>
        <v>614173,27|2,0,0</v>
      </c>
      <c r="C27" t="str">
        <f>CONCATENATE(614121,",",ROW(BCTHBDVCSH_06615!C27),"|",COLUMN(BCTHBDVCSH_06615!C27),",0",",0")</f>
        <v>614121,27|3,0,0</v>
      </c>
      <c r="D27" t="str">
        <f>CONCATENATE(614064,",",ROW(BCTHBDVCSH_06615!D27),"|",COLUMN(BCTHBDVCSH_06615!D27),",0",",0")</f>
        <v>614064,27|4,0,0</v>
      </c>
      <c r="E27" t="str">
        <f>CONCATENATE(614262,",",ROW(BCTHBDVCSH_06615!E27),"|",COLUMN(BCTHBDVCSH_06615!E27),",0",",0")</f>
        <v>614262,27|5,0,0</v>
      </c>
      <c r="F27" t="str">
        <f>CONCATENATE(614092,",",ROW(BCTHBDVCSH_06615!F27),"|",COLUMN(BCTHBDVCSH_06615!F27),",0",",0")</f>
        <v>614092,27|6,0,0</v>
      </c>
      <c r="G27" t="str">
        <f>CONCATENATE(614233,",",ROW(BCTHBDVCSH_06615!G27),"|",COLUMN(BCTHBDVCSH_06615!G27),",0",",0")</f>
        <v>614233,27|7,0,0</v>
      </c>
      <c r="H27" t="str">
        <f>CONCATENATE(614207,",",ROW(BCTHBDVCSH_06615!H27),"|",COLUMN(BCTHBDVCSH_06615!H27),",0",",0")</f>
        <v>614207,27|8,0,0</v>
      </c>
      <c r="I27" t="str">
        <f>CONCATENATE(614128,",",ROW(BCTHBDVCSH_06615!I27),"|",COLUMN(BCTHBDVCSH_06615!I27),",0",",0")</f>
        <v>614128,27|9,0,0</v>
      </c>
      <c r="J27" t="str">
        <f>CONCATENATE(614017,",",ROW(BCTHBDVCSH_06615!J27),"|",COLUMN(BCTHBDVCSH_06615!J27),",0",",0")</f>
        <v>614017,27|10,0,0</v>
      </c>
      <c r="K27" t="str">
        <f>CONCATENATE(614027,",",ROW(BCTHBDVCSH_06615!K27),"|",COLUMN(BCTHBDVCSH_06615!K27),",0",",0")</f>
        <v>614027,27|11,0,0</v>
      </c>
    </row>
    <row r="28" spans="1:11" x14ac:dyDescent="0.25">
      <c r="A28" t="str">
        <f>CONCATENATE(614223,",",ROW(BCTHBDVCSH_06615!A28),"|",COLUMN(BCTHBDVCSH_06615!A28),",0",",0")</f>
        <v>614223,28|1,0,0</v>
      </c>
      <c r="B28" t="str">
        <f>CONCATENATE(614174,",",ROW(BCTHBDVCSH_06615!B28),"|",COLUMN(BCTHBDVCSH_06615!B28),",0",",0")</f>
        <v>614174,28|2,0,0</v>
      </c>
      <c r="C28" t="str">
        <f>CONCATENATE(614122,",",ROW(BCTHBDVCSH_06615!C28),"|",COLUMN(BCTHBDVCSH_06615!C28),",0",",0")</f>
        <v>614122,28|3,0,0</v>
      </c>
      <c r="D28" t="str">
        <f>CONCATENATE(614065,",",ROW(BCTHBDVCSH_06615!D28),"|",COLUMN(BCTHBDVCSH_06615!D28),",0",",0")</f>
        <v>614065,28|4,0,0</v>
      </c>
      <c r="E28" t="str">
        <f>CONCATENATE(614263,",",ROW(BCTHBDVCSH_06615!E28),"|",COLUMN(BCTHBDVCSH_06615!E28),",0",",0")</f>
        <v>614263,28|5,0,0</v>
      </c>
      <c r="F28" t="str">
        <f>CONCATENATE(614093,",",ROW(BCTHBDVCSH_06615!F28),"|",COLUMN(BCTHBDVCSH_06615!F28),",0",",0")</f>
        <v>614093,28|6,0,0</v>
      </c>
      <c r="G28" t="str">
        <f>CONCATENATE(614234,",",ROW(BCTHBDVCSH_06615!G28),"|",COLUMN(BCTHBDVCSH_06615!G28),",0",",0")</f>
        <v>614234,28|7,0,0</v>
      </c>
      <c r="H28" t="str">
        <f>CONCATENATE(614208,",",ROW(BCTHBDVCSH_06615!H28),"|",COLUMN(BCTHBDVCSH_06615!H28),",0",",0")</f>
        <v>614208,28|8,0,0</v>
      </c>
      <c r="I28" t="str">
        <f>CONCATENATE(614129,",",ROW(BCTHBDVCSH_06615!I28),"|",COLUMN(BCTHBDVCSH_06615!I28),",0",",0")</f>
        <v>614129,28|9,0,0</v>
      </c>
      <c r="J28" t="str">
        <f>CONCATENATE(614018,",",ROW(BCTHBDVCSH_06615!J28),"|",COLUMN(BCTHBDVCSH_06615!J28),",0",",0")</f>
        <v>614018,28|10,0,0</v>
      </c>
      <c r="K28" t="str">
        <f>CONCATENATE(614152,",",ROW(BCTHBDVCSH_06615!K28),"|",COLUMN(BCTHBDVCSH_06615!K28),",0",",0")</f>
        <v>614152,28|11,0,0</v>
      </c>
    </row>
    <row r="29" spans="1:11" x14ac:dyDescent="0.25">
      <c r="A29" t="str">
        <f>CONCATENATE(614081,",",ROW(BCTHBDVCSH_06615!A29),"|",COLUMN(BCTHBDVCSH_06615!A29),",0",",0")</f>
        <v>614081,29|1,0,0</v>
      </c>
      <c r="B29" t="str">
        <f>CONCATENATE(614146,",",ROW(BCTHBDVCSH_06615!B29),"|",COLUMN(BCTHBDVCSH_06615!B29),",0",",0")</f>
        <v>614146,29|2,0,0</v>
      </c>
      <c r="C29" t="str">
        <f>CONCATENATE(614123,",",ROW(BCTHBDVCSH_06615!C29),"|",COLUMN(BCTHBDVCSH_06615!C29),",0",",0")</f>
        <v>614123,29|3,0,0</v>
      </c>
      <c r="D29" t="str">
        <f>CONCATENATE(614066,",",ROW(BCTHBDVCSH_06615!D29),"|",COLUMN(BCTHBDVCSH_06615!D29),",0",",0")</f>
        <v>614066,29|4,0,0</v>
      </c>
      <c r="E29" t="str">
        <f>CONCATENATE(614264,",",ROW(BCTHBDVCSH_06615!E29),"|",COLUMN(BCTHBDVCSH_06615!E29),",0",",0")</f>
        <v>614264,29|5,0,0</v>
      </c>
      <c r="F29" t="str">
        <f>CONCATENATE(614094,",",ROW(BCTHBDVCSH_06615!F29),"|",COLUMN(BCTHBDVCSH_06615!F29),",0",",0")</f>
        <v>614094,29|6,0,0</v>
      </c>
      <c r="G29" t="str">
        <f>CONCATENATE(614235,",",ROW(BCTHBDVCSH_06615!G29),"|",COLUMN(BCTHBDVCSH_06615!G29),",0",",0")</f>
        <v>614235,29|7,0,0</v>
      </c>
      <c r="H29" t="str">
        <f>CONCATENATE(614209,",",ROW(BCTHBDVCSH_06615!H29),"|",COLUMN(BCTHBDVCSH_06615!H29),",0",",0")</f>
        <v>614209,29|8,0,0</v>
      </c>
      <c r="I29" t="str">
        <f>CONCATENATE(614185,",",ROW(BCTHBDVCSH_06615!I29),"|",COLUMN(BCTHBDVCSH_06615!I29),",0",",0")</f>
        <v>614185,29|9,0,0</v>
      </c>
      <c r="J29" t="str">
        <f>CONCATENATE(614019,",",ROW(BCTHBDVCSH_06615!J29),"|",COLUMN(BCTHBDVCSH_06615!J29),",0",",0")</f>
        <v>614019,29|10,0,0</v>
      </c>
      <c r="K29" t="str">
        <f>CONCATENATE(614028,",",ROW(BCTHBDVCSH_06615!K29),"|",COLUMN(BCTHBDVCSH_06615!K29),",0",",0")</f>
        <v>614028,29|11,0,0</v>
      </c>
    </row>
  </sheetData>
  <sheetProtection password="CB7D"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6.42578125" bestFit="1" customWidth="1"/>
  </cols>
  <sheetData>
    <row r="1" spans="1:1" ht="16.5" x14ac:dyDescent="0.25">
      <c r="A1" s="12">
        <v>3487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topLeftCell="A118" workbookViewId="0">
      <selection activeCell="H135" sqref="H135"/>
    </sheetView>
  </sheetViews>
  <sheetFormatPr defaultRowHeight="15" x14ac:dyDescent="0.25"/>
  <cols>
    <col min="1" max="1" width="52.140625" customWidth="1"/>
    <col min="2" max="2" width="13.85546875" customWidth="1"/>
    <col min="3" max="3" width="4.7109375" customWidth="1"/>
    <col min="4" max="5" width="21.85546875" bestFit="1" customWidth="1"/>
  </cols>
  <sheetData>
    <row r="1" spans="1:5" ht="20.25" x14ac:dyDescent="0.3">
      <c r="A1" s="2211" t="s">
        <v>8</v>
      </c>
      <c r="B1" s="2211" t="s">
        <v>5</v>
      </c>
      <c r="C1" s="2211" t="s">
        <v>5</v>
      </c>
      <c r="D1" s="2211" t="s">
        <v>5</v>
      </c>
      <c r="E1" s="2211" t="s">
        <v>5</v>
      </c>
    </row>
    <row r="2" spans="1:5" ht="18.75" x14ac:dyDescent="0.3">
      <c r="A2" s="2212" t="s">
        <v>763</v>
      </c>
      <c r="B2" s="2212" t="s">
        <v>5</v>
      </c>
      <c r="C2" s="2212" t="s">
        <v>5</v>
      </c>
      <c r="D2" s="2212" t="s">
        <v>5</v>
      </c>
      <c r="E2" s="2212" t="s">
        <v>5</v>
      </c>
    </row>
    <row r="3" spans="1:5" ht="18.75" x14ac:dyDescent="0.3">
      <c r="A3" s="2212" t="s">
        <v>36</v>
      </c>
      <c r="B3" s="2212" t="s">
        <v>5</v>
      </c>
      <c r="C3" s="2212" t="s">
        <v>5</v>
      </c>
      <c r="D3" s="2212" t="s">
        <v>5</v>
      </c>
      <c r="E3" s="2212" t="s">
        <v>5</v>
      </c>
    </row>
    <row r="4" spans="1:5" ht="93.75" x14ac:dyDescent="0.25">
      <c r="A4" s="35" t="s">
        <v>31</v>
      </c>
      <c r="B4" s="35" t="s">
        <v>32</v>
      </c>
      <c r="C4" s="35" t="s">
        <v>33</v>
      </c>
      <c r="D4" s="35" t="s">
        <v>34</v>
      </c>
      <c r="E4" s="35" t="s">
        <v>35</v>
      </c>
    </row>
    <row r="5" spans="1:5" ht="16.5" x14ac:dyDescent="0.25">
      <c r="A5" s="47" t="s">
        <v>40</v>
      </c>
      <c r="B5" s="127" t="s">
        <v>113</v>
      </c>
      <c r="C5" s="86" t="s">
        <v>80</v>
      </c>
      <c r="D5" s="352" t="s">
        <v>222</v>
      </c>
      <c r="E5" s="87" t="s">
        <v>81</v>
      </c>
    </row>
    <row r="6" spans="1:5" ht="16.5" x14ac:dyDescent="0.25">
      <c r="A6" s="285" t="s">
        <v>209</v>
      </c>
      <c r="B6" s="34" t="s">
        <v>5</v>
      </c>
      <c r="C6" s="364"/>
      <c r="D6" s="131" t="s">
        <v>5</v>
      </c>
      <c r="E6" s="415" t="s">
        <v>5</v>
      </c>
    </row>
    <row r="7" spans="1:5" ht="33" x14ac:dyDescent="0.25">
      <c r="A7" s="194" t="s">
        <v>127</v>
      </c>
      <c r="B7" s="378">
        <v>100</v>
      </c>
      <c r="C7" s="331"/>
      <c r="D7" s="1722">
        <v>180978040696</v>
      </c>
      <c r="E7" s="1722">
        <v>180566327613</v>
      </c>
    </row>
    <row r="8" spans="1:5" ht="16.5" x14ac:dyDescent="0.25">
      <c r="A8" s="227" t="s">
        <v>158</v>
      </c>
      <c r="B8" s="121">
        <v>110</v>
      </c>
      <c r="C8" s="132"/>
      <c r="D8" s="1722">
        <v>180197927401</v>
      </c>
      <c r="E8" s="1722">
        <v>179680637174</v>
      </c>
    </row>
    <row r="9" spans="1:5" ht="33" x14ac:dyDescent="0.25">
      <c r="A9" s="195" t="s">
        <v>128</v>
      </c>
      <c r="B9" s="379">
        <v>111</v>
      </c>
      <c r="C9" s="342"/>
      <c r="D9" s="1722">
        <v>54528935296</v>
      </c>
      <c r="E9" s="1722">
        <v>17449222714</v>
      </c>
    </row>
    <row r="10" spans="1:5" ht="16.5" x14ac:dyDescent="0.25">
      <c r="A10" s="228" t="s">
        <v>159</v>
      </c>
      <c r="B10" s="36" t="s">
        <v>762</v>
      </c>
      <c r="C10" s="133"/>
      <c r="D10" s="1722">
        <v>4528935296</v>
      </c>
      <c r="E10" s="1722">
        <v>14449222714</v>
      </c>
    </row>
    <row r="11" spans="1:5" ht="33" x14ac:dyDescent="0.25">
      <c r="A11" s="208" t="s">
        <v>141</v>
      </c>
      <c r="B11" s="110" t="s">
        <v>97</v>
      </c>
      <c r="C11" s="298"/>
      <c r="D11" s="1722">
        <v>50000000000</v>
      </c>
      <c r="E11" s="1722">
        <v>3000000000</v>
      </c>
    </row>
    <row r="12" spans="1:5" ht="33" x14ac:dyDescent="0.25">
      <c r="A12" s="229" t="s">
        <v>160</v>
      </c>
      <c r="B12" s="259" t="s">
        <v>186</v>
      </c>
      <c r="C12" s="134"/>
      <c r="D12" s="1722">
        <v>43399176840</v>
      </c>
      <c r="E12" s="1722">
        <v>7989366002</v>
      </c>
    </row>
    <row r="13" spans="1:5" ht="33" x14ac:dyDescent="0.25">
      <c r="A13" s="196" t="s">
        <v>129</v>
      </c>
      <c r="B13" s="380" t="s">
        <v>243</v>
      </c>
      <c r="C13" s="343"/>
      <c r="D13" s="1722"/>
      <c r="E13" s="1722"/>
    </row>
    <row r="14" spans="1:5" ht="16.5" x14ac:dyDescent="0.25">
      <c r="A14" s="197" t="s">
        <v>130</v>
      </c>
      <c r="B14" s="184" t="s">
        <v>117</v>
      </c>
      <c r="C14" s="344"/>
      <c r="D14" s="1722">
        <v>80728193503</v>
      </c>
      <c r="E14" s="1722">
        <v>152259523519</v>
      </c>
    </row>
    <row r="15" spans="1:5" ht="16.5" x14ac:dyDescent="0.25">
      <c r="A15" s="230" t="s">
        <v>161</v>
      </c>
      <c r="B15" s="111" t="s">
        <v>98</v>
      </c>
      <c r="C15" s="135"/>
      <c r="D15" s="1722"/>
      <c r="E15" s="1722"/>
    </row>
    <row r="16" spans="1:5" ht="49.5" x14ac:dyDescent="0.25">
      <c r="A16" s="198" t="s">
        <v>131</v>
      </c>
      <c r="B16" s="90" t="s">
        <v>84</v>
      </c>
      <c r="C16" s="345"/>
      <c r="D16" s="1722"/>
      <c r="E16" s="1722"/>
    </row>
    <row r="17" spans="1:5" ht="16.5" x14ac:dyDescent="0.25">
      <c r="A17" s="231" t="s">
        <v>162</v>
      </c>
      <c r="B17" s="185" t="s">
        <v>118</v>
      </c>
      <c r="C17" s="136"/>
      <c r="D17" s="1722">
        <v>16064523740</v>
      </c>
      <c r="E17" s="1722">
        <v>16034442255</v>
      </c>
    </row>
    <row r="18" spans="1:5" ht="33" x14ac:dyDescent="0.25">
      <c r="A18" s="232" t="s">
        <v>163</v>
      </c>
      <c r="B18" s="91" t="s">
        <v>85</v>
      </c>
      <c r="C18" s="137"/>
      <c r="D18" s="1722">
        <v>15252400000</v>
      </c>
      <c r="E18" s="1722">
        <v>15711230000</v>
      </c>
    </row>
    <row r="19" spans="1:5" ht="49.5" x14ac:dyDescent="0.25">
      <c r="A19" s="48" t="s">
        <v>41</v>
      </c>
      <c r="B19" s="93" t="s">
        <v>87</v>
      </c>
      <c r="C19" s="346"/>
      <c r="D19" s="1722">
        <v>812123740</v>
      </c>
      <c r="E19" s="1722">
        <v>323212255</v>
      </c>
    </row>
    <row r="20" spans="1:5" ht="16.5" x14ac:dyDescent="0.25">
      <c r="A20" s="199" t="s">
        <v>132</v>
      </c>
      <c r="B20" s="112" t="s">
        <v>99</v>
      </c>
      <c r="C20" s="299"/>
      <c r="D20" s="1722"/>
      <c r="E20" s="1722"/>
    </row>
    <row r="21" spans="1:5" ht="33" x14ac:dyDescent="0.25">
      <c r="A21" s="209" t="s">
        <v>142</v>
      </c>
      <c r="B21" s="381" t="s">
        <v>244</v>
      </c>
      <c r="C21" s="347"/>
      <c r="D21" s="1722">
        <v>812123740</v>
      </c>
      <c r="E21" s="1722">
        <v>323212255</v>
      </c>
    </row>
    <row r="22" spans="1:5" ht="16.5" x14ac:dyDescent="0.25">
      <c r="A22" s="49" t="s">
        <v>42</v>
      </c>
      <c r="B22" s="277" t="s">
        <v>201</v>
      </c>
      <c r="C22" s="348"/>
      <c r="D22" s="1722">
        <v>212186671</v>
      </c>
      <c r="E22" s="1722">
        <v>259900675</v>
      </c>
    </row>
    <row r="23" spans="1:5" ht="33" x14ac:dyDescent="0.25">
      <c r="A23" s="233" t="s">
        <v>164</v>
      </c>
      <c r="B23" s="113" t="s">
        <v>100</v>
      </c>
      <c r="C23" s="335"/>
      <c r="D23" s="1722">
        <v>10565088110</v>
      </c>
      <c r="E23" s="1722">
        <v>10959098768</v>
      </c>
    </row>
    <row r="24" spans="1:5" ht="16.5" x14ac:dyDescent="0.25">
      <c r="A24" s="210" t="s">
        <v>143</v>
      </c>
      <c r="B24" s="278" t="s">
        <v>202</v>
      </c>
      <c r="C24" s="349"/>
      <c r="D24" s="1722"/>
      <c r="E24" s="1722"/>
    </row>
    <row r="25" spans="1:5" ht="16.5" x14ac:dyDescent="0.25">
      <c r="A25" s="234" t="s">
        <v>165</v>
      </c>
      <c r="B25" s="279" t="s">
        <v>203</v>
      </c>
      <c r="C25" s="138"/>
      <c r="D25" s="1722"/>
      <c r="E25" s="1722"/>
    </row>
    <row r="26" spans="1:5" ht="16.5" x14ac:dyDescent="0.25">
      <c r="A26" s="200" t="s">
        <v>133</v>
      </c>
      <c r="B26" s="186" t="s">
        <v>119</v>
      </c>
      <c r="C26" s="350"/>
      <c r="D26" s="1722">
        <v>32137673341</v>
      </c>
      <c r="E26" s="1722">
        <v>32158183341</v>
      </c>
    </row>
    <row r="27" spans="1:5" ht="33" x14ac:dyDescent="0.25">
      <c r="A27" s="50" t="s">
        <v>43</v>
      </c>
      <c r="B27" s="187" t="s">
        <v>120</v>
      </c>
      <c r="C27" s="351"/>
      <c r="D27" s="1722">
        <v>-57437850100</v>
      </c>
      <c r="E27" s="1722">
        <v>-57429100100</v>
      </c>
    </row>
    <row r="28" spans="1:5" ht="16.5" x14ac:dyDescent="0.25">
      <c r="A28" s="51" t="s">
        <v>44</v>
      </c>
      <c r="B28" s="88" t="s">
        <v>82</v>
      </c>
      <c r="C28" s="300"/>
      <c r="D28" s="1722">
        <v>780113295</v>
      </c>
      <c r="E28" s="1722">
        <v>885690439</v>
      </c>
    </row>
    <row r="29" spans="1:5" ht="16.5" x14ac:dyDescent="0.25">
      <c r="A29" s="211" t="s">
        <v>144</v>
      </c>
      <c r="B29" s="94" t="s">
        <v>88</v>
      </c>
      <c r="C29" s="130"/>
      <c r="D29" s="1722">
        <v>26084000</v>
      </c>
      <c r="E29" s="1722">
        <v>49895000</v>
      </c>
    </row>
    <row r="30" spans="1:5" ht="33" x14ac:dyDescent="0.25">
      <c r="A30" s="212" t="s">
        <v>145</v>
      </c>
      <c r="B30" s="382" t="s">
        <v>245</v>
      </c>
      <c r="C30" s="151"/>
      <c r="D30" s="1722"/>
      <c r="E30" s="1722"/>
    </row>
    <row r="31" spans="1:5" ht="16.5" x14ac:dyDescent="0.25">
      <c r="A31" s="281" t="s">
        <v>205</v>
      </c>
      <c r="B31" s="114" t="s">
        <v>101</v>
      </c>
      <c r="C31" s="301"/>
      <c r="D31" s="1722">
        <v>280091066</v>
      </c>
      <c r="E31" s="1722">
        <v>361857210</v>
      </c>
    </row>
    <row r="32" spans="1:5" ht="33" x14ac:dyDescent="0.25">
      <c r="A32" s="109" t="s">
        <v>96</v>
      </c>
      <c r="B32" s="188" t="s">
        <v>121</v>
      </c>
      <c r="C32" s="297"/>
      <c r="D32" s="1722">
        <v>13500000</v>
      </c>
      <c r="E32" s="1722">
        <v>13500000</v>
      </c>
    </row>
    <row r="33" spans="1:5" ht="16.5" x14ac:dyDescent="0.25">
      <c r="A33" s="213" t="s">
        <v>146</v>
      </c>
      <c r="B33" s="383" t="s">
        <v>246</v>
      </c>
      <c r="C33" s="152"/>
      <c r="D33" s="1722"/>
      <c r="E33" s="1722"/>
    </row>
    <row r="34" spans="1:5" ht="33" x14ac:dyDescent="0.25">
      <c r="A34" s="201" t="s">
        <v>134</v>
      </c>
      <c r="B34" s="280" t="s">
        <v>204</v>
      </c>
      <c r="C34" s="153"/>
      <c r="D34" s="1722">
        <v>460438229</v>
      </c>
      <c r="E34" s="1722">
        <v>460438229</v>
      </c>
    </row>
    <row r="35" spans="1:5" ht="16.5" x14ac:dyDescent="0.25">
      <c r="A35" s="214" t="s">
        <v>147</v>
      </c>
      <c r="B35" s="384" t="s">
        <v>247</v>
      </c>
      <c r="C35" s="154"/>
      <c r="D35" s="1722"/>
      <c r="E35" s="1722"/>
    </row>
    <row r="36" spans="1:5" ht="16.5" x14ac:dyDescent="0.25">
      <c r="A36" s="202" t="s">
        <v>135</v>
      </c>
      <c r="B36" s="95" t="s">
        <v>89</v>
      </c>
      <c r="C36" s="155"/>
      <c r="D36" s="1722"/>
      <c r="E36" s="1722"/>
    </row>
    <row r="37" spans="1:5" ht="16.5" x14ac:dyDescent="0.25">
      <c r="A37" s="282" t="s">
        <v>206</v>
      </c>
      <c r="B37" s="115" t="s">
        <v>102</v>
      </c>
      <c r="C37" s="303"/>
      <c r="D37" s="1722"/>
      <c r="E37" s="1722"/>
    </row>
    <row r="38" spans="1:5" ht="49.5" x14ac:dyDescent="0.25">
      <c r="A38" s="235" t="s">
        <v>166</v>
      </c>
      <c r="B38" s="96" t="s">
        <v>90</v>
      </c>
      <c r="C38" s="139"/>
      <c r="D38" s="1722">
        <v>47213696695</v>
      </c>
      <c r="E38" s="1722">
        <v>47057683658</v>
      </c>
    </row>
    <row r="39" spans="1:5" ht="16.5" x14ac:dyDescent="0.25">
      <c r="A39" s="203" t="s">
        <v>136</v>
      </c>
      <c r="B39" s="97" t="s">
        <v>91</v>
      </c>
      <c r="C39" s="253"/>
      <c r="D39" s="1722">
        <v>24683222850</v>
      </c>
      <c r="E39" s="1722">
        <v>25769159932</v>
      </c>
    </row>
    <row r="40" spans="1:5" ht="16.5" x14ac:dyDescent="0.25">
      <c r="A40" s="284" t="s">
        <v>208</v>
      </c>
      <c r="B40" s="116" t="s">
        <v>103</v>
      </c>
      <c r="C40" s="304"/>
      <c r="D40" s="1722"/>
      <c r="E40" s="1722"/>
    </row>
    <row r="41" spans="1:5" ht="16.5" x14ac:dyDescent="0.25">
      <c r="A41" s="204" t="s">
        <v>137</v>
      </c>
      <c r="B41" s="122" t="s">
        <v>108</v>
      </c>
      <c r="C41" s="156"/>
      <c r="D41" s="1722">
        <v>136980581556</v>
      </c>
      <c r="E41" s="1722">
        <v>138027158556</v>
      </c>
    </row>
    <row r="42" spans="1:5" ht="16.5" x14ac:dyDescent="0.25">
      <c r="A42" s="283" t="s">
        <v>207</v>
      </c>
      <c r="B42" s="413" t="s">
        <v>275</v>
      </c>
      <c r="C42" s="332"/>
      <c r="D42" s="1722"/>
      <c r="E42" s="1722"/>
    </row>
    <row r="43" spans="1:5" ht="16.5" x14ac:dyDescent="0.25">
      <c r="A43" s="215" t="s">
        <v>148</v>
      </c>
      <c r="B43" s="414" t="s">
        <v>276</v>
      </c>
      <c r="C43" s="157"/>
      <c r="D43" s="1722"/>
      <c r="E43" s="1722"/>
    </row>
    <row r="44" spans="1:5" ht="16.5" x14ac:dyDescent="0.25">
      <c r="A44" s="236" t="s">
        <v>167</v>
      </c>
      <c r="B44" s="266" t="s">
        <v>192</v>
      </c>
      <c r="C44" s="140"/>
      <c r="D44" s="1722"/>
      <c r="E44" s="1722"/>
    </row>
    <row r="45" spans="1:5" ht="16.5" x14ac:dyDescent="0.25">
      <c r="A45" s="99" t="s">
        <v>93</v>
      </c>
      <c r="B45" s="385" t="s">
        <v>248</v>
      </c>
      <c r="C45" s="333"/>
      <c r="D45" s="1722">
        <v>136980581556</v>
      </c>
      <c r="E45" s="1722">
        <v>138027158556</v>
      </c>
    </row>
    <row r="46" spans="1:5" ht="33" x14ac:dyDescent="0.25">
      <c r="A46" s="270" t="s">
        <v>194</v>
      </c>
      <c r="B46" s="189" t="s">
        <v>122</v>
      </c>
      <c r="C46" s="334"/>
      <c r="D46" s="1722">
        <v>-112297358706</v>
      </c>
      <c r="E46" s="1722">
        <v>-112257998624</v>
      </c>
    </row>
    <row r="47" spans="1:5" ht="16.5" x14ac:dyDescent="0.25">
      <c r="A47" s="271" t="s">
        <v>195</v>
      </c>
      <c r="B47" s="429" t="s">
        <v>290</v>
      </c>
      <c r="C47" s="336"/>
      <c r="D47" s="1722">
        <v>6182817248</v>
      </c>
      <c r="E47" s="1722">
        <v>7387243409</v>
      </c>
    </row>
    <row r="48" spans="1:5" ht="16.5" x14ac:dyDescent="0.25">
      <c r="A48" s="205" t="s">
        <v>138</v>
      </c>
      <c r="B48" s="89" t="s">
        <v>83</v>
      </c>
      <c r="C48" s="158"/>
      <c r="D48" s="1722">
        <v>2568537442</v>
      </c>
      <c r="E48" s="1722">
        <v>2769711345</v>
      </c>
    </row>
    <row r="49" spans="1:5" ht="16.5" x14ac:dyDescent="0.25">
      <c r="A49" s="244" t="s">
        <v>169</v>
      </c>
      <c r="B49" s="430" t="s">
        <v>291</v>
      </c>
      <c r="C49" s="159"/>
      <c r="D49" s="1722">
        <v>17012854354</v>
      </c>
      <c r="E49" s="1722">
        <v>18143271719</v>
      </c>
    </row>
    <row r="50" spans="1:5" ht="16.5" x14ac:dyDescent="0.25">
      <c r="A50" s="216" t="s">
        <v>149</v>
      </c>
      <c r="B50" s="431" t="s">
        <v>292</v>
      </c>
      <c r="C50" s="160"/>
      <c r="D50" s="1722">
        <v>-14444316912</v>
      </c>
      <c r="E50" s="1722">
        <v>-15373560374</v>
      </c>
    </row>
    <row r="51" spans="1:5" ht="16.5" x14ac:dyDescent="0.25">
      <c r="A51" s="217" t="s">
        <v>150</v>
      </c>
      <c r="B51" s="432" t="s">
        <v>293</v>
      </c>
      <c r="C51" s="161"/>
      <c r="D51" s="1722"/>
      <c r="E51" s="1722"/>
    </row>
    <row r="52" spans="1:5" ht="16.5" x14ac:dyDescent="0.25">
      <c r="A52" s="237" t="s">
        <v>168</v>
      </c>
      <c r="B52" s="433" t="s">
        <v>294</v>
      </c>
      <c r="C52" s="141"/>
      <c r="D52" s="1722"/>
      <c r="E52" s="1722"/>
    </row>
    <row r="53" spans="1:5" ht="16.5" x14ac:dyDescent="0.25">
      <c r="A53" s="238" t="s">
        <v>169</v>
      </c>
      <c r="B53" s="117" t="s">
        <v>104</v>
      </c>
      <c r="C53" s="142"/>
      <c r="D53" s="1722"/>
      <c r="E53" s="1722"/>
    </row>
    <row r="54" spans="1:5" ht="16.5" x14ac:dyDescent="0.25">
      <c r="A54" s="263" t="s">
        <v>149</v>
      </c>
      <c r="B54" s="36" t="s">
        <v>37</v>
      </c>
      <c r="C54" s="162"/>
      <c r="D54" s="1722"/>
      <c r="E54" s="1722"/>
    </row>
    <row r="55" spans="1:5" ht="16.5" x14ac:dyDescent="0.25">
      <c r="A55" s="239" t="s">
        <v>170</v>
      </c>
      <c r="B55" s="386" t="s">
        <v>249</v>
      </c>
      <c r="C55" s="143"/>
      <c r="D55" s="1722"/>
      <c r="E55" s="1722"/>
    </row>
    <row r="56" spans="1:5" ht="16.5" x14ac:dyDescent="0.25">
      <c r="A56" s="240" t="s">
        <v>171</v>
      </c>
      <c r="B56" s="416" t="s">
        <v>277</v>
      </c>
      <c r="C56" s="144"/>
      <c r="D56" s="1722">
        <v>3614279806</v>
      </c>
      <c r="E56" s="1722">
        <v>4617532064</v>
      </c>
    </row>
    <row r="57" spans="1:5" ht="16.5" x14ac:dyDescent="0.25">
      <c r="A57" s="241" t="s">
        <v>172</v>
      </c>
      <c r="B57" s="37" t="s">
        <v>38</v>
      </c>
      <c r="C57" s="145"/>
      <c r="D57" s="1722">
        <v>21478036934</v>
      </c>
      <c r="E57" s="1722">
        <v>21058036934</v>
      </c>
    </row>
    <row r="58" spans="1:5" ht="16.5" x14ac:dyDescent="0.25">
      <c r="A58" s="424" t="s">
        <v>151</v>
      </c>
      <c r="B58" s="387" t="s">
        <v>250</v>
      </c>
      <c r="C58" s="163"/>
      <c r="D58" s="1722">
        <v>-17863757128</v>
      </c>
      <c r="E58" s="1722">
        <v>-16440504870</v>
      </c>
    </row>
    <row r="59" spans="1:5" ht="16.5" x14ac:dyDescent="0.25">
      <c r="A59" s="245" t="s">
        <v>174</v>
      </c>
      <c r="B59" s="53" t="s">
        <v>46</v>
      </c>
      <c r="C59" s="164"/>
      <c r="D59" s="1722"/>
      <c r="E59" s="1722"/>
    </row>
    <row r="60" spans="1:5" ht="16.5" x14ac:dyDescent="0.25">
      <c r="A60" s="272" t="s">
        <v>196</v>
      </c>
      <c r="B60" s="54" t="s">
        <v>47</v>
      </c>
      <c r="C60" s="337"/>
      <c r="D60" s="1722"/>
      <c r="E60" s="1722"/>
    </row>
    <row r="61" spans="1:5" ht="16.5" x14ac:dyDescent="0.25">
      <c r="A61" s="242" t="s">
        <v>172</v>
      </c>
      <c r="B61" s="388" t="s">
        <v>251</v>
      </c>
      <c r="C61" s="146"/>
      <c r="D61" s="1722"/>
      <c r="E61" s="1722"/>
    </row>
    <row r="62" spans="1:5" ht="16.5" x14ac:dyDescent="0.25">
      <c r="A62" s="218" t="s">
        <v>151</v>
      </c>
      <c r="B62" s="55" t="s">
        <v>48</v>
      </c>
      <c r="C62" s="165"/>
      <c r="D62" s="1722"/>
      <c r="E62" s="1722"/>
    </row>
    <row r="63" spans="1:5" ht="16.5" x14ac:dyDescent="0.25">
      <c r="A63" s="273" t="s">
        <v>197</v>
      </c>
      <c r="B63" s="389" t="s">
        <v>252</v>
      </c>
      <c r="C63" s="338"/>
      <c r="D63" s="1722"/>
      <c r="E63" s="1722"/>
    </row>
    <row r="64" spans="1:5" ht="16.5" x14ac:dyDescent="0.25">
      <c r="A64" s="243" t="s">
        <v>173</v>
      </c>
      <c r="B64" s="118" t="s">
        <v>105</v>
      </c>
      <c r="C64" s="147"/>
      <c r="D64" s="1722"/>
      <c r="E64" s="1722"/>
    </row>
    <row r="65" spans="1:5" ht="16.5" x14ac:dyDescent="0.25">
      <c r="A65" s="274" t="s">
        <v>198</v>
      </c>
      <c r="B65" s="417" t="s">
        <v>278</v>
      </c>
      <c r="C65" s="339"/>
      <c r="D65" s="1722">
        <v>16347656597</v>
      </c>
      <c r="E65" s="1722">
        <v>13901280317</v>
      </c>
    </row>
    <row r="66" spans="1:5" ht="16.5" x14ac:dyDescent="0.25">
      <c r="A66" s="183" t="s">
        <v>116</v>
      </c>
      <c r="B66" s="56" t="s">
        <v>49</v>
      </c>
      <c r="C66" s="148"/>
      <c r="D66" s="1722"/>
      <c r="E66" s="1722"/>
    </row>
    <row r="67" spans="1:5" ht="16.5" x14ac:dyDescent="0.25">
      <c r="A67" s="222" t="s">
        <v>153</v>
      </c>
      <c r="B67" s="390" t="s">
        <v>253</v>
      </c>
      <c r="C67" s="166"/>
      <c r="D67" s="1722">
        <v>736450495</v>
      </c>
      <c r="E67" s="1722">
        <v>790074215</v>
      </c>
    </row>
    <row r="68" spans="1:5" ht="33" x14ac:dyDescent="0.25">
      <c r="A68" s="255" t="s">
        <v>182</v>
      </c>
      <c r="B68" s="57" t="s">
        <v>50</v>
      </c>
      <c r="C68" s="167"/>
      <c r="D68" s="1722"/>
      <c r="E68" s="1722"/>
    </row>
    <row r="69" spans="1:5" ht="33" x14ac:dyDescent="0.25">
      <c r="A69" s="223" t="s">
        <v>154</v>
      </c>
      <c r="B69" s="2127" t="s">
        <v>51</v>
      </c>
      <c r="C69" s="168"/>
      <c r="D69" s="1722">
        <v>15611206102</v>
      </c>
      <c r="E69" s="1722">
        <v>13111206102</v>
      </c>
    </row>
    <row r="70" spans="1:5" ht="33" x14ac:dyDescent="0.25">
      <c r="A70" s="246" t="s">
        <v>175</v>
      </c>
      <c r="B70" s="2127" t="s">
        <v>279</v>
      </c>
      <c r="C70" s="169"/>
      <c r="D70" s="1722"/>
      <c r="E70" s="1722"/>
    </row>
    <row r="71" spans="1:5" ht="16.5" x14ac:dyDescent="0.25">
      <c r="A71" s="275" t="s">
        <v>199</v>
      </c>
      <c r="B71" s="58" t="s">
        <v>52</v>
      </c>
      <c r="C71" s="340"/>
      <c r="D71" s="1722"/>
      <c r="E71" s="1722"/>
    </row>
    <row r="72" spans="1:5" ht="16.5" x14ac:dyDescent="0.25">
      <c r="A72" s="128" t="s">
        <v>114</v>
      </c>
      <c r="B72" s="269"/>
      <c r="C72" s="220"/>
      <c r="D72" s="1722"/>
      <c r="E72" s="1722"/>
    </row>
    <row r="73" spans="1:5" ht="16.5" x14ac:dyDescent="0.25">
      <c r="A73" s="224" t="s">
        <v>155</v>
      </c>
      <c r="B73" s="391" t="s">
        <v>254</v>
      </c>
      <c r="C73" s="170"/>
      <c r="D73" s="1722">
        <v>228191737391</v>
      </c>
      <c r="E73" s="1722">
        <v>227624011271</v>
      </c>
    </row>
    <row r="74" spans="1:5" ht="16.5" x14ac:dyDescent="0.25">
      <c r="A74" s="225" t="s">
        <v>156</v>
      </c>
      <c r="B74" s="392" t="s">
        <v>255</v>
      </c>
      <c r="C74" s="171"/>
      <c r="D74" s="1722">
        <v>6954413399</v>
      </c>
      <c r="E74" s="1722">
        <v>11492687753</v>
      </c>
    </row>
    <row r="75" spans="1:5" ht="16.5" x14ac:dyDescent="0.25">
      <c r="A75" s="256" t="s">
        <v>183</v>
      </c>
      <c r="B75" s="59" t="s">
        <v>53</v>
      </c>
      <c r="C75" s="172"/>
      <c r="D75" s="1722">
        <v>4704413399</v>
      </c>
      <c r="E75" s="1722">
        <v>7742687753</v>
      </c>
    </row>
    <row r="76" spans="1:5" ht="16.5" x14ac:dyDescent="0.25">
      <c r="A76" s="276" t="s">
        <v>200</v>
      </c>
      <c r="B76" s="393" t="s">
        <v>256</v>
      </c>
      <c r="C76" s="341"/>
      <c r="D76" s="1722"/>
      <c r="E76" s="1722"/>
    </row>
    <row r="77" spans="1:5" ht="16.5" x14ac:dyDescent="0.25">
      <c r="A77" s="257" t="s">
        <v>184</v>
      </c>
      <c r="B77" s="60" t="s">
        <v>54</v>
      </c>
      <c r="C77" s="173"/>
      <c r="D77" s="1722"/>
      <c r="E77" s="1722"/>
    </row>
    <row r="78" spans="1:5" ht="16.5" x14ac:dyDescent="0.25">
      <c r="A78" s="250" t="s">
        <v>179</v>
      </c>
      <c r="B78" s="394" t="s">
        <v>257</v>
      </c>
      <c r="C78" s="174"/>
      <c r="D78" s="1722"/>
      <c r="E78" s="1722"/>
    </row>
    <row r="79" spans="1:5" ht="16.5" x14ac:dyDescent="0.25">
      <c r="A79" s="52" t="s">
        <v>45</v>
      </c>
      <c r="B79" s="395" t="s">
        <v>258</v>
      </c>
      <c r="C79" s="175"/>
      <c r="D79" s="1722"/>
      <c r="E79" s="1722"/>
    </row>
    <row r="80" spans="1:5" ht="16.5" x14ac:dyDescent="0.25">
      <c r="A80" s="66" t="s">
        <v>60</v>
      </c>
      <c r="B80" s="190" t="s">
        <v>123</v>
      </c>
      <c r="C80" s="354"/>
      <c r="D80" s="1722"/>
      <c r="E80" s="1722"/>
    </row>
    <row r="81" spans="1:5" ht="16.5" x14ac:dyDescent="0.25">
      <c r="A81" s="67" t="s">
        <v>61</v>
      </c>
      <c r="B81" s="396" t="s">
        <v>259</v>
      </c>
      <c r="C81" s="329"/>
      <c r="D81" s="1722"/>
      <c r="E81" s="1722"/>
    </row>
    <row r="82" spans="1:5" ht="16.5" x14ac:dyDescent="0.25">
      <c r="A82" s="68" t="s">
        <v>62</v>
      </c>
      <c r="B82" s="191" t="s">
        <v>124</v>
      </c>
      <c r="C82" s="330"/>
      <c r="D82" s="1722"/>
      <c r="E82" s="1722"/>
    </row>
    <row r="83" spans="1:5" ht="33" x14ac:dyDescent="0.25">
      <c r="A83" s="69" t="s">
        <v>63</v>
      </c>
      <c r="B83" s="61" t="s">
        <v>55</v>
      </c>
      <c r="C83" s="176"/>
      <c r="D83" s="1722">
        <v>355225933</v>
      </c>
      <c r="E83" s="1722">
        <v>950015709</v>
      </c>
    </row>
    <row r="84" spans="1:5" ht="16.5" x14ac:dyDescent="0.25">
      <c r="A84" s="264" t="s">
        <v>190</v>
      </c>
      <c r="B84" s="62" t="s">
        <v>56</v>
      </c>
      <c r="C84" s="177"/>
      <c r="D84" s="1722"/>
      <c r="E84" s="1722"/>
    </row>
    <row r="85" spans="1:5" ht="16.5" x14ac:dyDescent="0.25">
      <c r="A85" s="265" t="s">
        <v>191</v>
      </c>
      <c r="B85" s="63" t="s">
        <v>57</v>
      </c>
      <c r="C85" s="178"/>
      <c r="D85" s="1722">
        <v>213006773</v>
      </c>
      <c r="E85" s="1722">
        <v>105006773</v>
      </c>
    </row>
    <row r="86" spans="1:5" ht="33" x14ac:dyDescent="0.25">
      <c r="A86" s="288" t="s">
        <v>212</v>
      </c>
      <c r="B86" s="397" t="s">
        <v>260</v>
      </c>
      <c r="C86" s="179"/>
      <c r="D86" s="1722">
        <v>685362000</v>
      </c>
      <c r="E86" s="1722">
        <v>821362000</v>
      </c>
    </row>
    <row r="87" spans="1:5" ht="33" x14ac:dyDescent="0.25">
      <c r="A87" s="286" t="s">
        <v>210</v>
      </c>
      <c r="B87" s="64" t="s">
        <v>58</v>
      </c>
      <c r="C87" s="180"/>
      <c r="D87" s="1722">
        <v>951007902</v>
      </c>
      <c r="E87" s="1722">
        <v>2238286425</v>
      </c>
    </row>
    <row r="88" spans="1:5" ht="16.5" x14ac:dyDescent="0.25">
      <c r="A88" s="287" t="s">
        <v>211</v>
      </c>
      <c r="B88" s="65" t="s">
        <v>59</v>
      </c>
      <c r="C88" s="181"/>
      <c r="D88" s="1722">
        <v>1033100176</v>
      </c>
      <c r="E88" s="1722">
        <v>1613579551</v>
      </c>
    </row>
    <row r="89" spans="1:5" ht="33" x14ac:dyDescent="0.25">
      <c r="A89" s="289" t="s">
        <v>213</v>
      </c>
      <c r="B89" s="70" t="s">
        <v>64</v>
      </c>
      <c r="C89" s="254"/>
      <c r="D89" s="1722">
        <v>73532048</v>
      </c>
      <c r="E89" s="1722">
        <v>234891048</v>
      </c>
    </row>
    <row r="90" spans="1:5" ht="16.5" x14ac:dyDescent="0.25">
      <c r="A90" s="290" t="s">
        <v>214</v>
      </c>
      <c r="B90" s="71" t="s">
        <v>65</v>
      </c>
      <c r="C90" s="38"/>
      <c r="D90" s="1722">
        <v>317394000</v>
      </c>
      <c r="E90" s="1722">
        <v>293855000</v>
      </c>
    </row>
    <row r="91" spans="1:5" ht="16.5" x14ac:dyDescent="0.25">
      <c r="A91" s="291" t="s">
        <v>215</v>
      </c>
      <c r="B91" s="398" t="s">
        <v>261</v>
      </c>
      <c r="C91" s="39"/>
      <c r="D91" s="1722"/>
      <c r="E91" s="1722"/>
    </row>
    <row r="92" spans="1:5" ht="16.5" x14ac:dyDescent="0.25">
      <c r="A92" s="123" t="s">
        <v>109</v>
      </c>
      <c r="B92" s="72" t="s">
        <v>66</v>
      </c>
      <c r="C92" s="149"/>
      <c r="D92" s="1722"/>
      <c r="E92" s="1722"/>
    </row>
    <row r="93" spans="1:5" ht="16.5" x14ac:dyDescent="0.25">
      <c r="A93" s="124" t="s">
        <v>110</v>
      </c>
      <c r="B93" s="119" t="s">
        <v>106</v>
      </c>
      <c r="C93" s="150"/>
      <c r="D93" s="1722"/>
      <c r="E93" s="1722"/>
    </row>
    <row r="94" spans="1:5" ht="33" x14ac:dyDescent="0.25">
      <c r="A94" s="258" t="s">
        <v>185</v>
      </c>
      <c r="B94" s="73" t="s">
        <v>67</v>
      </c>
      <c r="C94" s="40"/>
      <c r="D94" s="1722">
        <v>1074792370</v>
      </c>
      <c r="E94" s="1722">
        <v>1484699050</v>
      </c>
    </row>
    <row r="95" spans="1:5" ht="33" x14ac:dyDescent="0.25">
      <c r="A95" s="292" t="s">
        <v>216</v>
      </c>
      <c r="B95" s="120" t="s">
        <v>107</v>
      </c>
      <c r="C95" s="305"/>
      <c r="D95" s="1722"/>
      <c r="E95" s="1722"/>
    </row>
    <row r="96" spans="1:5" ht="16.5" x14ac:dyDescent="0.25">
      <c r="A96" s="125" t="s">
        <v>111</v>
      </c>
      <c r="B96" s="399" t="s">
        <v>262</v>
      </c>
      <c r="C96" s="182"/>
      <c r="D96" s="1722">
        <v>992197</v>
      </c>
      <c r="E96" s="1722">
        <v>992197</v>
      </c>
    </row>
    <row r="97" spans="1:5" ht="16.5" x14ac:dyDescent="0.25">
      <c r="A97" s="293" t="s">
        <v>217</v>
      </c>
      <c r="B97" s="427" t="s">
        <v>288</v>
      </c>
      <c r="C97" s="306"/>
      <c r="D97" s="1722"/>
      <c r="E97" s="1722"/>
    </row>
    <row r="98" spans="1:5" ht="16.5" x14ac:dyDescent="0.25">
      <c r="A98" s="365" t="s">
        <v>230</v>
      </c>
      <c r="B98" s="400" t="s">
        <v>263</v>
      </c>
      <c r="C98" s="41"/>
      <c r="D98" s="1722">
        <v>2250000000</v>
      </c>
      <c r="E98" s="1722">
        <v>3750000000</v>
      </c>
    </row>
    <row r="99" spans="1:5" ht="16.5" x14ac:dyDescent="0.25">
      <c r="A99" s="366" t="s">
        <v>231</v>
      </c>
      <c r="B99" s="192" t="s">
        <v>125</v>
      </c>
      <c r="C99" s="42"/>
      <c r="D99" s="1722"/>
      <c r="E99" s="1722"/>
    </row>
    <row r="100" spans="1:5" ht="16.5" x14ac:dyDescent="0.25">
      <c r="A100" s="260" t="s">
        <v>187</v>
      </c>
      <c r="B100" s="74" t="s">
        <v>68</v>
      </c>
      <c r="C100" s="43"/>
      <c r="D100" s="1722"/>
      <c r="E100" s="1722"/>
    </row>
    <row r="101" spans="1:5" ht="16.5" x14ac:dyDescent="0.25">
      <c r="A101" s="294" t="s">
        <v>218</v>
      </c>
      <c r="B101" s="76" t="s">
        <v>70</v>
      </c>
      <c r="C101" s="363"/>
      <c r="D101" s="1722"/>
      <c r="E101" s="1722"/>
    </row>
    <row r="102" spans="1:5" ht="16.5" x14ac:dyDescent="0.25">
      <c r="A102" s="295" t="s">
        <v>219</v>
      </c>
      <c r="B102" s="428" t="s">
        <v>289</v>
      </c>
      <c r="C102" s="307"/>
      <c r="D102" s="1722"/>
      <c r="E102" s="1722"/>
    </row>
    <row r="103" spans="1:5" ht="16.5" x14ac:dyDescent="0.25">
      <c r="A103" s="126" t="s">
        <v>112</v>
      </c>
      <c r="B103" s="401" t="s">
        <v>264</v>
      </c>
      <c r="C103" s="100"/>
      <c r="D103" s="1722"/>
      <c r="E103" s="1722"/>
    </row>
    <row r="104" spans="1:5" ht="16.5" x14ac:dyDescent="0.25">
      <c r="A104" s="367" t="s">
        <v>232</v>
      </c>
      <c r="B104" s="77" t="s">
        <v>71</v>
      </c>
      <c r="C104" s="44"/>
      <c r="D104" s="1722"/>
      <c r="E104" s="1722"/>
    </row>
    <row r="105" spans="1:5" ht="16.5" x14ac:dyDescent="0.25">
      <c r="A105" s="368" t="s">
        <v>233</v>
      </c>
      <c r="B105" s="402" t="s">
        <v>265</v>
      </c>
      <c r="C105" s="45"/>
      <c r="D105" s="1722">
        <v>2250000000</v>
      </c>
      <c r="E105" s="1722">
        <v>3750000000</v>
      </c>
    </row>
    <row r="106" spans="1:5" ht="16.5" x14ac:dyDescent="0.25">
      <c r="A106" s="261" t="s">
        <v>188</v>
      </c>
      <c r="B106" s="78" t="s">
        <v>72</v>
      </c>
      <c r="C106" s="362"/>
      <c r="D106" s="1722"/>
      <c r="E106" s="1722"/>
    </row>
    <row r="107" spans="1:5" ht="16.5" x14ac:dyDescent="0.25">
      <c r="A107" s="226" t="s">
        <v>157</v>
      </c>
      <c r="B107" s="403" t="s">
        <v>266</v>
      </c>
      <c r="C107" s="412"/>
      <c r="D107" s="1722"/>
      <c r="E107" s="1722"/>
    </row>
    <row r="108" spans="1:5" ht="16.5" x14ac:dyDescent="0.25">
      <c r="A108" s="419" t="s">
        <v>281</v>
      </c>
      <c r="B108" s="404" t="s">
        <v>267</v>
      </c>
      <c r="C108" s="101"/>
      <c r="D108" s="1722"/>
      <c r="E108" s="1722"/>
    </row>
    <row r="109" spans="1:5" ht="16.5" x14ac:dyDescent="0.25">
      <c r="A109" s="369" t="s">
        <v>234</v>
      </c>
      <c r="B109" s="79" t="s">
        <v>73</v>
      </c>
      <c r="C109" s="309"/>
      <c r="D109" s="1722"/>
      <c r="E109" s="1722"/>
    </row>
    <row r="110" spans="1:5" ht="16.5" x14ac:dyDescent="0.25">
      <c r="A110" s="370" t="s">
        <v>235</v>
      </c>
      <c r="B110" s="405" t="s">
        <v>268</v>
      </c>
      <c r="C110" s="310"/>
      <c r="D110" s="1722"/>
      <c r="E110" s="1722"/>
    </row>
    <row r="111" spans="1:5" ht="16.5" x14ac:dyDescent="0.25">
      <c r="A111" s="262" t="s">
        <v>189</v>
      </c>
      <c r="B111" s="406" t="s">
        <v>269</v>
      </c>
      <c r="C111" s="311"/>
      <c r="D111" s="1722"/>
      <c r="E111" s="1722"/>
    </row>
    <row r="112" spans="1:5" ht="16.5" x14ac:dyDescent="0.25">
      <c r="A112" s="422" t="s">
        <v>284</v>
      </c>
      <c r="B112" s="80" t="s">
        <v>74</v>
      </c>
      <c r="C112" s="312"/>
      <c r="D112" s="1722"/>
      <c r="E112" s="1722"/>
    </row>
    <row r="113" spans="1:5" ht="16.5" x14ac:dyDescent="0.25">
      <c r="A113" s="75" t="s">
        <v>69</v>
      </c>
      <c r="B113" s="407" t="s">
        <v>270</v>
      </c>
      <c r="C113" s="313"/>
      <c r="D113" s="1722"/>
      <c r="E113" s="1722"/>
    </row>
    <row r="114" spans="1:5" ht="16.5" x14ac:dyDescent="0.25">
      <c r="A114" s="420" t="s">
        <v>282</v>
      </c>
      <c r="B114" s="81" t="s">
        <v>75</v>
      </c>
      <c r="C114" s="102"/>
      <c r="D114" s="1722"/>
      <c r="E114" s="1722"/>
    </row>
    <row r="115" spans="1:5" ht="16.5" x14ac:dyDescent="0.25">
      <c r="A115" s="371" t="s">
        <v>236</v>
      </c>
      <c r="B115" s="193" t="s">
        <v>126</v>
      </c>
      <c r="C115" s="314"/>
      <c r="D115" s="1722"/>
      <c r="E115" s="1722"/>
    </row>
    <row r="116" spans="1:5" ht="16.5" x14ac:dyDescent="0.25">
      <c r="A116" s="129" t="s">
        <v>115</v>
      </c>
      <c r="B116" s="34" t="s">
        <v>5</v>
      </c>
      <c r="C116" s="221"/>
      <c r="D116" s="1722"/>
      <c r="E116" s="1722">
        <v>0</v>
      </c>
    </row>
    <row r="117" spans="1:5" ht="16.5" x14ac:dyDescent="0.25">
      <c r="A117" s="296" t="s">
        <v>220</v>
      </c>
      <c r="B117" s="408" t="s">
        <v>271</v>
      </c>
      <c r="C117" s="315"/>
      <c r="D117" s="1722">
        <v>221237323992</v>
      </c>
      <c r="E117" s="1722">
        <v>216131323518</v>
      </c>
    </row>
    <row r="118" spans="1:5" ht="16.5" x14ac:dyDescent="0.25">
      <c r="A118" s="355" t="s">
        <v>223</v>
      </c>
      <c r="B118" s="82" t="s">
        <v>76</v>
      </c>
      <c r="C118" s="316"/>
      <c r="D118" s="1722">
        <v>221237323992</v>
      </c>
      <c r="E118" s="1722">
        <v>216131323518</v>
      </c>
    </row>
    <row r="119" spans="1:5" ht="16.5" x14ac:dyDescent="0.25">
      <c r="A119" s="421" t="s">
        <v>283</v>
      </c>
      <c r="B119" s="83" t="s">
        <v>77</v>
      </c>
      <c r="C119" s="103"/>
      <c r="D119" s="1722">
        <v>500000000000</v>
      </c>
      <c r="E119" s="1722">
        <v>500000000000</v>
      </c>
    </row>
    <row r="120" spans="1:5" ht="16.5" x14ac:dyDescent="0.25">
      <c r="A120" s="372" t="s">
        <v>237</v>
      </c>
      <c r="B120" s="360" t="s">
        <v>228</v>
      </c>
      <c r="C120" s="353"/>
      <c r="D120" s="1722">
        <v>500000000000</v>
      </c>
      <c r="E120" s="1722">
        <v>500000000000</v>
      </c>
    </row>
    <row r="121" spans="1:5" ht="33" x14ac:dyDescent="0.25">
      <c r="A121" s="92" t="s">
        <v>86</v>
      </c>
      <c r="B121" s="84" t="s">
        <v>78</v>
      </c>
      <c r="C121" s="104"/>
      <c r="D121" s="1722">
        <v>500000000000</v>
      </c>
      <c r="E121" s="1722">
        <v>500000000000</v>
      </c>
    </row>
    <row r="122" spans="1:5" ht="16.5" x14ac:dyDescent="0.25">
      <c r="A122" s="423" t="s">
        <v>285</v>
      </c>
      <c r="B122" s="361" t="s">
        <v>229</v>
      </c>
      <c r="C122" s="308"/>
      <c r="D122" s="1722"/>
      <c r="E122" s="1722"/>
    </row>
    <row r="123" spans="1:5" ht="16.5" x14ac:dyDescent="0.25">
      <c r="A123" s="356" t="s">
        <v>224</v>
      </c>
      <c r="B123" s="409" t="s">
        <v>272</v>
      </c>
      <c r="C123" s="317"/>
      <c r="D123" s="1722"/>
      <c r="E123" s="1722"/>
    </row>
    <row r="124" spans="1:5" ht="33" x14ac:dyDescent="0.25">
      <c r="A124" s="373" t="s">
        <v>238</v>
      </c>
      <c r="B124" s="85" t="s">
        <v>79</v>
      </c>
      <c r="C124" s="318"/>
      <c r="D124" s="1722"/>
      <c r="E124" s="1722"/>
    </row>
    <row r="125" spans="1:5" ht="16.5" x14ac:dyDescent="0.25">
      <c r="A125" s="107" t="s">
        <v>94</v>
      </c>
      <c r="B125" s="98" t="s">
        <v>92</v>
      </c>
      <c r="C125" s="105"/>
      <c r="D125" s="1722"/>
      <c r="E125" s="1722"/>
    </row>
    <row r="126" spans="1:5" ht="16.5" x14ac:dyDescent="0.25">
      <c r="A126" s="374" t="s">
        <v>239</v>
      </c>
      <c r="B126" s="410" t="s">
        <v>273</v>
      </c>
      <c r="C126" s="319"/>
      <c r="D126" s="1722"/>
      <c r="E126" s="1722"/>
    </row>
    <row r="127" spans="1:5" ht="16.5" x14ac:dyDescent="0.25">
      <c r="A127" s="357" t="s">
        <v>225</v>
      </c>
      <c r="B127" s="411" t="s">
        <v>274</v>
      </c>
      <c r="C127" s="320"/>
      <c r="D127" s="1722"/>
      <c r="E127" s="1722"/>
    </row>
    <row r="128" spans="1:5" ht="16.5" x14ac:dyDescent="0.25">
      <c r="A128" s="425" t="s">
        <v>286</v>
      </c>
      <c r="B128" s="206" t="s">
        <v>139</v>
      </c>
      <c r="C128" s="321"/>
      <c r="D128" s="1722"/>
      <c r="E128" s="1722"/>
    </row>
    <row r="129" spans="1:5" ht="33" x14ac:dyDescent="0.25">
      <c r="A129" s="375" t="s">
        <v>240</v>
      </c>
      <c r="B129" s="247" t="s">
        <v>176</v>
      </c>
      <c r="C129" s="322"/>
      <c r="D129" s="1722">
        <v>8902712767</v>
      </c>
      <c r="E129" s="1722">
        <v>8902712767</v>
      </c>
    </row>
    <row r="130" spans="1:5" ht="33" x14ac:dyDescent="0.25">
      <c r="A130" s="108" t="s">
        <v>95</v>
      </c>
      <c r="B130" s="207" t="s">
        <v>140</v>
      </c>
      <c r="C130" s="106"/>
      <c r="D130" s="1722">
        <v>8902712768</v>
      </c>
      <c r="E130" s="1722">
        <v>8902712768</v>
      </c>
    </row>
    <row r="131" spans="1:5" ht="33" x14ac:dyDescent="0.25">
      <c r="A131" s="358" t="s">
        <v>226</v>
      </c>
      <c r="B131" s="248" t="s">
        <v>177</v>
      </c>
      <c r="C131" s="323"/>
      <c r="D131" s="1722">
        <v>11770434156</v>
      </c>
      <c r="E131" s="1722">
        <v>11770434156</v>
      </c>
    </row>
    <row r="132" spans="1:5" ht="30.75" customHeight="1" x14ac:dyDescent="0.25">
      <c r="A132" s="376" t="s">
        <v>241</v>
      </c>
      <c r="B132" s="251" t="s">
        <v>180</v>
      </c>
      <c r="C132" s="324"/>
      <c r="D132" s="1722">
        <v>-308338535699</v>
      </c>
      <c r="E132" s="1722">
        <v>-313444536173</v>
      </c>
    </row>
    <row r="133" spans="1:5" ht="33" x14ac:dyDescent="0.25">
      <c r="A133" s="426" t="s">
        <v>287</v>
      </c>
      <c r="B133" s="249" t="s">
        <v>178</v>
      </c>
      <c r="C133" s="325"/>
      <c r="D133" s="1722">
        <v>-302123234339</v>
      </c>
      <c r="E133" s="1722">
        <v>-308208804668</v>
      </c>
    </row>
    <row r="134" spans="1:5" ht="31.5" customHeight="1" x14ac:dyDescent="0.25">
      <c r="A134" s="377" t="s">
        <v>242</v>
      </c>
      <c r="B134" s="252" t="s">
        <v>181</v>
      </c>
      <c r="C134" s="326"/>
      <c r="D134" s="1722">
        <v>-6215301360</v>
      </c>
      <c r="E134" s="1722">
        <v>-5235731505</v>
      </c>
    </row>
    <row r="135" spans="1:5" ht="33" x14ac:dyDescent="0.25">
      <c r="A135" s="359" t="s">
        <v>227</v>
      </c>
      <c r="B135" s="418" t="s">
        <v>280</v>
      </c>
      <c r="C135" s="327"/>
      <c r="D135" s="1722"/>
      <c r="E135" s="1722"/>
    </row>
    <row r="136" spans="1:5" ht="16.5" x14ac:dyDescent="0.25">
      <c r="A136" s="302" t="s">
        <v>221</v>
      </c>
      <c r="B136" s="46" t="s">
        <v>39</v>
      </c>
      <c r="C136" s="328"/>
      <c r="D136" s="1722"/>
      <c r="E136" s="1722"/>
    </row>
    <row r="137" spans="1:5" ht="16.5" x14ac:dyDescent="0.25">
      <c r="A137" s="219" t="s">
        <v>152</v>
      </c>
      <c r="B137" s="268" t="s">
        <v>193</v>
      </c>
      <c r="C137" s="267"/>
      <c r="D137" s="1722">
        <v>228191737391</v>
      </c>
      <c r="E137" s="1722">
        <v>227624011271</v>
      </c>
    </row>
  </sheetData>
  <mergeCells count="3">
    <mergeCell ref="A1:E1"/>
    <mergeCell ref="A2:E2"/>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137"/>
  <sheetViews>
    <sheetView workbookViewId="0"/>
  </sheetViews>
  <sheetFormatPr defaultRowHeight="15" x14ac:dyDescent="0.25"/>
  <cols>
    <col min="1" max="1" width="1" style="434" bestFit="1" customWidth="1"/>
    <col min="2" max="5" width="1" bestFit="1" customWidth="1"/>
  </cols>
  <sheetData>
    <row r="5" spans="1:5" x14ac:dyDescent="0.25">
      <c r="A5" t="str">
        <f>CONCATENATE(614704,",",ROW(BCTCR_06608!A5),"|",COLUMN(BCTCR_06608!A5),",0",",0")</f>
        <v>614704,5|1,0,0</v>
      </c>
      <c r="B5" t="str">
        <f>CONCATENATE(615151,",",ROW(BCTCR_06608!B5),"|",COLUMN(BCTCR_06608!B5),",0",",0")</f>
        <v>615151,5|2,0,0</v>
      </c>
      <c r="C5" t="str">
        <f>CONCATENATE(614758,",",ROW(BCTCR_06608!C5),"|",COLUMN(BCTCR_06608!C5),",0",",0")</f>
        <v>614758,5|3,0,0</v>
      </c>
      <c r="D5" t="str">
        <f>CONCATENATE(615305,",",ROW(BCTCR_06608!D5),"|",COLUMN(BCTCR_06608!D5),",0",",0")</f>
        <v>615305,5|4,0,0</v>
      </c>
      <c r="E5" t="str">
        <f>CONCATENATE(614759,",",ROW(BCTCR_06608!E5),"|",COLUMN(BCTCR_06608!E5),",0",",0")</f>
        <v>614759,5|5,0,0</v>
      </c>
    </row>
    <row r="6" spans="1:5" x14ac:dyDescent="0.25">
      <c r="A6" t="str">
        <f>CONCATENATE(614943,",",ROW(BCTCR_06608!A6),"|",COLUMN(BCTCR_06608!A6),",0",",0")</f>
        <v>614943,6|1,0,0</v>
      </c>
      <c r="B6" t="s">
        <v>5</v>
      </c>
      <c r="C6" t="str">
        <f>CONCATENATE(614994,",",ROW(BCTCR_06608!C6),"|",COLUMN(BCTCR_06608!C6),",0",",0")</f>
        <v>614994,6|3,0,0</v>
      </c>
      <c r="D6" t="str">
        <f>CONCATENATE(614789,",",ROW(BCTCR_06608!D6),"|",COLUMN(BCTCR_06608!D6),",0",",0")</f>
        <v>614789,6|4,0,0</v>
      </c>
      <c r="E6" t="str">
        <f>CONCATENATE(615053,",",ROW(BCTCR_06608!E6),"|",COLUMN(BCTCR_06608!E6),",0",",0")</f>
        <v>615053,6|5,0,0</v>
      </c>
    </row>
    <row r="7" spans="1:5" x14ac:dyDescent="0.25">
      <c r="A7" t="str">
        <f>CONCATENATE(614873,",",ROW(BCTCR_06608!A7),"|",COLUMN(BCTCR_06608!A7),",0",",0")</f>
        <v>614873,7|1,0,0</v>
      </c>
      <c r="B7" t="str">
        <f>CONCATENATE(615008,",",ROW(BCTCR_06608!B7),"|",COLUMN(BCTCR_06608!B7),",0",",0")</f>
        <v>615008,7|2,0,0</v>
      </c>
      <c r="C7" t="str">
        <f>CONCATENATE(615284,",",ROW(BCTCR_06608!C7),"|",COLUMN(BCTCR_06608!C7),",0",",0")</f>
        <v>615284,7|3,0,0</v>
      </c>
      <c r="D7" t="str">
        <f>CONCATENATE(614661,",",ROW(BCTCR_06608!D7),"|",COLUMN(BCTCR_06608!D7),",0",",0")</f>
        <v>614661,7|4,0,0</v>
      </c>
      <c r="E7" t="str">
        <f>CONCATENATE(615171,",",ROW(BCTCR_06608!E7),"|",COLUMN(BCTCR_06608!E7),",0",",0")</f>
        <v>615171,7|5,0,0</v>
      </c>
    </row>
    <row r="8" spans="1:5" x14ac:dyDescent="0.25">
      <c r="A8" t="str">
        <f>CONCATENATE(615231,",",ROW(BCTCR_06608!A8),"|",COLUMN(BCTCR_06608!A8),",0",",0")</f>
        <v>615231,8|1,0,0</v>
      </c>
      <c r="B8" t="str">
        <f>CONCATENATE(615145,",",ROW(BCTCR_06608!B8),"|",COLUMN(BCTCR_06608!B8),",0",",0")</f>
        <v>615145,8|2,0,0</v>
      </c>
      <c r="C8" t="str">
        <f>CONCATENATE(614791,",",ROW(BCTCR_06608!C8),"|",COLUMN(BCTCR_06608!C8),",0",",0")</f>
        <v>614791,8|3,0,0</v>
      </c>
      <c r="D8" t="str">
        <f>CONCATENATE(615054,",",ROW(BCTCR_06608!D8),"|",COLUMN(BCTCR_06608!D8),",0",",0")</f>
        <v>615054,8|4,0,0</v>
      </c>
      <c r="E8" t="str">
        <f>CONCATENATE(614770,",",ROW(BCTCR_06608!E8),"|",COLUMN(BCTCR_06608!E8),",0",",0")</f>
        <v>614770,8|5,0,0</v>
      </c>
    </row>
    <row r="9" spans="1:5" x14ac:dyDescent="0.25">
      <c r="A9" t="str">
        <f>CONCATENATE(614874,",",ROW(BCTCR_06608!A9),"|",COLUMN(BCTCR_06608!A9),",0",",0")</f>
        <v>614874,9|1,0,0</v>
      </c>
      <c r="B9" t="str">
        <f>CONCATENATE(615009,",",ROW(BCTCR_06608!B9),"|",COLUMN(BCTCR_06608!B9),",0",",0")</f>
        <v>615009,9|2,0,0</v>
      </c>
      <c r="C9" t="str">
        <f>CONCATENATE(615295,",",ROW(BCTCR_06608!C9),"|",COLUMN(BCTCR_06608!C9),",0",",0")</f>
        <v>615295,9|3,0,0</v>
      </c>
      <c r="D9" t="str">
        <f>CONCATENATE(615050,",",ROW(BCTCR_06608!D9),"|",COLUMN(BCTCR_06608!D9),",0",",0")</f>
        <v>615050,9|4,0,0</v>
      </c>
      <c r="E9" t="str">
        <f>CONCATENATE(615181,",",ROW(BCTCR_06608!E9),"|",COLUMN(BCTCR_06608!E9),",0",",0")</f>
        <v>615181,9|5,0,0</v>
      </c>
    </row>
    <row r="10" spans="1:5" x14ac:dyDescent="0.25">
      <c r="A10" t="str">
        <f>CONCATENATE(615232,",",ROW(BCTCR_06608!A10),"|",COLUMN(BCTCR_06608!A10),",0",",0")</f>
        <v>615232,10|1,0,0</v>
      </c>
      <c r="B10" t="str">
        <f>CONCATENATE(615073,",",ROW(BCTCR_06608!B10),"|",COLUMN(BCTCR_06608!B10),",0",",0")</f>
        <v>615073,10|2,0,0</v>
      </c>
      <c r="C10" t="str">
        <f>CONCATENATE(614792,",",ROW(BCTCR_06608!C10),"|",COLUMN(BCTCR_06608!C10),",0",",0")</f>
        <v>614792,10|3,0,0</v>
      </c>
      <c r="D10" t="str">
        <f>CONCATENATE(615055,",",ROW(BCTCR_06608!D10),"|",COLUMN(BCTCR_06608!D10),",0",",0")</f>
        <v>615055,10|4,0,0</v>
      </c>
      <c r="E10" t="str">
        <f>CONCATENATE(614760,",",ROW(BCTCR_06608!E10),"|",COLUMN(BCTCR_06608!E10),",0",",0")</f>
        <v>614760,10|5,0,0</v>
      </c>
    </row>
    <row r="11" spans="1:5" x14ac:dyDescent="0.25">
      <c r="A11" t="str">
        <f>CONCATENATE(615210,",",ROW(BCTCR_06608!A11),"|",COLUMN(BCTCR_06608!A11),",0",",0")</f>
        <v>615210,11|1,0,0</v>
      </c>
      <c r="B11" t="str">
        <f>CONCATENATE(615134,",",ROW(BCTCR_06608!B11),"|",COLUMN(BCTCR_06608!B11),",0",",0")</f>
        <v>615134,11|2,0,0</v>
      </c>
      <c r="C11" t="str">
        <f>CONCATENATE(615251,",",ROW(BCTCR_06608!C11),"|",COLUMN(BCTCR_06608!C11),",0",",0")</f>
        <v>615251,11|3,0,0</v>
      </c>
      <c r="D11" t="str">
        <f>CONCATENATE(614678,",",ROW(BCTCR_06608!D11),"|",COLUMN(BCTCR_06608!D11),",0",",0")</f>
        <v>614678,11|4,0,0</v>
      </c>
      <c r="E11" t="str">
        <f>CONCATENATE(614941,",",ROW(BCTCR_06608!E11),"|",COLUMN(BCTCR_06608!E11),",0",",0")</f>
        <v>614941,11|5,0,0</v>
      </c>
    </row>
    <row r="12" spans="1:5" x14ac:dyDescent="0.25">
      <c r="A12" t="str">
        <f>CONCATENATE(615233,",",ROW(BCTCR_06608!A12),"|",COLUMN(BCTCR_06608!A12),",0",",0")</f>
        <v>615233,12|1,0,0</v>
      </c>
      <c r="B12" t="str">
        <f>CONCATENATE(614900,",",ROW(BCTCR_06608!B12),"|",COLUMN(BCTCR_06608!B12),",0",",0")</f>
        <v>614900,12|2,0,0</v>
      </c>
      <c r="C12" t="str">
        <f>CONCATENATE(614793,",",ROW(BCTCR_06608!C12),"|",COLUMN(BCTCR_06608!C12),",0",",0")</f>
        <v>614793,12|3,0,0</v>
      </c>
      <c r="D12" t="str">
        <f>CONCATENATE(615056,",",ROW(BCTCR_06608!D12),"|",COLUMN(BCTCR_06608!D12),",0",",0")</f>
        <v>615056,12|4,0,0</v>
      </c>
      <c r="E12" t="str">
        <f>CONCATENATE(614761,",",ROW(BCTCR_06608!E12),"|",COLUMN(BCTCR_06608!E12),",0",",0")</f>
        <v>614761,12|5,0,0</v>
      </c>
    </row>
    <row r="13" spans="1:5" x14ac:dyDescent="0.25">
      <c r="A13" t="str">
        <f>CONCATENATE(614875,",",ROW(BCTCR_06608!A13),"|",COLUMN(BCTCR_06608!A13),",0",",0")</f>
        <v>614875,13|1,0,0</v>
      </c>
      <c r="B13" t="str">
        <f>CONCATENATE(615010,",",ROW(BCTCR_06608!B13),"|",COLUMN(BCTCR_06608!B13),",0",",0")</f>
        <v>615010,13|2,0,0</v>
      </c>
      <c r="C13" t="str">
        <f>CONCATENATE(615296,",",ROW(BCTCR_06608!C13),"|",COLUMN(BCTCR_06608!C13),",0",",0")</f>
        <v>615296,13|3,0,0</v>
      </c>
      <c r="D13" t="str">
        <f>CONCATENATE(614790,",",ROW(BCTCR_06608!D13),"|",COLUMN(BCTCR_06608!D13),",0",",0")</f>
        <v>614790,13|4,0,0</v>
      </c>
      <c r="E13" t="str">
        <f>CONCATENATE(615248,",",ROW(BCTCR_06608!E13),"|",COLUMN(BCTCR_06608!E13),",0",",0")</f>
        <v>615248,13|5,0,0</v>
      </c>
    </row>
    <row r="14" spans="1:5" x14ac:dyDescent="0.25">
      <c r="A14" t="str">
        <f>CONCATENATE(614876,",",ROW(BCTCR_06608!A14),"|",COLUMN(BCTCR_06608!A14),",0",",0")</f>
        <v>614876,14|1,0,0</v>
      </c>
      <c r="B14" t="str">
        <f>CONCATENATE(614863,",",ROW(BCTCR_06608!B14),"|",COLUMN(BCTCR_06608!B14),",0",",0")</f>
        <v>614863,14|2,0,0</v>
      </c>
      <c r="C14" t="str">
        <f>CONCATENATE(615297,",",ROW(BCTCR_06608!C14),"|",COLUMN(BCTCR_06608!C14),",0",",0")</f>
        <v>615297,14|3,0,0</v>
      </c>
      <c r="D14" t="str">
        <f>CONCATENATE(615093,",",ROW(BCTCR_06608!D14),"|",COLUMN(BCTCR_06608!D14),",0",",0")</f>
        <v>615093,14|4,0,0</v>
      </c>
      <c r="E14" t="str">
        <f>CONCATENATE(615249,",",ROW(BCTCR_06608!E14),"|",COLUMN(BCTCR_06608!E14),",0",",0")</f>
        <v>615249,14|5,0,0</v>
      </c>
    </row>
    <row r="15" spans="1:5" x14ac:dyDescent="0.25">
      <c r="A15" t="str">
        <f>CONCATENATE(615234,",",ROW(BCTCR_06608!A15),"|",COLUMN(BCTCR_06608!A15),",0",",0")</f>
        <v>615234,15|1,0,0</v>
      </c>
      <c r="B15" t="str">
        <f>CONCATENATE(615135,",",ROW(BCTCR_06608!B15),"|",COLUMN(BCTCR_06608!B15),",0",",0")</f>
        <v>615135,15|2,0,0</v>
      </c>
      <c r="C15" t="str">
        <f>CONCATENATE(614794,",",ROW(BCTCR_06608!C15),"|",COLUMN(BCTCR_06608!C15),",0",",0")</f>
        <v>614794,15|3,0,0</v>
      </c>
      <c r="D15" t="str">
        <f>CONCATENATE(615057,",",ROW(BCTCR_06608!D15),"|",COLUMN(BCTCR_06608!D15),",0",",0")</f>
        <v>615057,15|4,0,0</v>
      </c>
      <c r="E15" t="str">
        <f>CONCATENATE(614762,",",ROW(BCTCR_06608!E15),"|",COLUMN(BCTCR_06608!E15),",0",",0")</f>
        <v>614762,15|5,0,0</v>
      </c>
    </row>
    <row r="16" spans="1:5" x14ac:dyDescent="0.25">
      <c r="A16" t="str">
        <f>CONCATENATE(614877,",",ROW(BCTCR_06608!A16),"|",COLUMN(BCTCR_06608!A16),",0",",0")</f>
        <v>614877,16|1,0,0</v>
      </c>
      <c r="B16" t="str">
        <f>CONCATENATE(615074,",",ROW(BCTCR_06608!B16),"|",COLUMN(BCTCR_06608!B16),",0",",0")</f>
        <v>615074,16|2,0,0</v>
      </c>
      <c r="C16" t="str">
        <f>CONCATENATE(615298,",",ROW(BCTCR_06608!C16),"|",COLUMN(BCTCR_06608!C16),",0",",0")</f>
        <v>615298,16|3,0,0</v>
      </c>
      <c r="D16" t="str">
        <f>CONCATENATE(615094,",",ROW(BCTCR_06608!D16),"|",COLUMN(BCTCR_06608!D16),",0",",0")</f>
        <v>615094,16|4,0,0</v>
      </c>
      <c r="E16" t="str">
        <f>CONCATENATE(615182,",",ROW(BCTCR_06608!E16),"|",COLUMN(BCTCR_06608!E16),",0",",0")</f>
        <v>615182,16|5,0,0</v>
      </c>
    </row>
    <row r="17" spans="1:5" x14ac:dyDescent="0.25">
      <c r="A17" t="str">
        <f>CONCATENATE(615235,",",ROW(BCTCR_06608!A17),"|",COLUMN(BCTCR_06608!A17),",0",",0")</f>
        <v>615235,17|1,0,0</v>
      </c>
      <c r="B17" t="str">
        <f>CONCATENATE(614864,",",ROW(BCTCR_06608!B17),"|",COLUMN(BCTCR_06608!B17),",0",",0")</f>
        <v>614864,17|2,0,0</v>
      </c>
      <c r="C17" t="str">
        <f>CONCATENATE(614795,",",ROW(BCTCR_06608!C17),"|",COLUMN(BCTCR_06608!C17),",0",",0")</f>
        <v>614795,17|3,0,0</v>
      </c>
      <c r="D17" t="str">
        <f>CONCATENATE(615058,",",ROW(BCTCR_06608!D17),"|",COLUMN(BCTCR_06608!D17),",0",",0")</f>
        <v>615058,17|4,0,0</v>
      </c>
      <c r="E17" t="str">
        <f>CONCATENATE(614764,",",ROW(BCTCR_06608!E17),"|",COLUMN(BCTCR_06608!E17),",0",",0")</f>
        <v>614764,17|5,0,0</v>
      </c>
    </row>
    <row r="18" spans="1:5" x14ac:dyDescent="0.25">
      <c r="A18" t="str">
        <f>CONCATENATE(615236,",",ROW(BCTCR_06608!A18),"|",COLUMN(BCTCR_06608!A18),",0",",0")</f>
        <v>615236,18|1,0,0</v>
      </c>
      <c r="B18" t="str">
        <f>CONCATENATE(615075,",",ROW(BCTCR_06608!B18),"|",COLUMN(BCTCR_06608!B18),",0",",0")</f>
        <v>615075,18|2,0,0</v>
      </c>
      <c r="C18" t="str">
        <f>CONCATENATE(614796,",",ROW(BCTCR_06608!C18),"|",COLUMN(BCTCR_06608!C18),",0",",0")</f>
        <v>614796,18|3,0,0</v>
      </c>
      <c r="D18" t="str">
        <f>CONCATENATE(615059,",",ROW(BCTCR_06608!D18),"|",COLUMN(BCTCR_06608!D18),",0",",0")</f>
        <v>615059,18|4,0,0</v>
      </c>
      <c r="E18" t="str">
        <f>CONCATENATE(614765,",",ROW(BCTCR_06608!E18),"|",COLUMN(BCTCR_06608!E18),",0",",0")</f>
        <v>614765,18|5,0,0</v>
      </c>
    </row>
    <row r="19" spans="1:5" x14ac:dyDescent="0.25">
      <c r="A19" t="str">
        <f>CONCATENATE(614705,",",ROW(BCTCR_06608!A19),"|",COLUMN(BCTCR_06608!A19),",0",",0")</f>
        <v>614705,19|1,0,0</v>
      </c>
      <c r="B19" t="str">
        <f>CONCATENATE(615086,",",ROW(BCTCR_06608!B19),"|",COLUMN(BCTCR_06608!B19),",0",",0")</f>
        <v>615086,19|2,0,0</v>
      </c>
      <c r="C19" t="str">
        <f>CONCATENATE(615299,",",ROW(BCTCR_06608!C19),"|",COLUMN(BCTCR_06608!C19),",0",",0")</f>
        <v>615299,19|3,0,0</v>
      </c>
      <c r="D19" t="str">
        <f>CONCATENATE(615095,",",ROW(BCTCR_06608!D19),"|",COLUMN(BCTCR_06608!D19),",0",",0")</f>
        <v>615095,19|4,0,0</v>
      </c>
      <c r="E19" t="str">
        <f>CONCATENATE(615183,",",ROW(BCTCR_06608!E19),"|",COLUMN(BCTCR_06608!E19),",0",",0")</f>
        <v>615183,19|5,0,0</v>
      </c>
    </row>
    <row r="20" spans="1:5" x14ac:dyDescent="0.25">
      <c r="A20" t="str">
        <f>CONCATENATE(614878,",",ROW(BCTCR_06608!A20),"|",COLUMN(BCTCR_06608!A20),",0",",0")</f>
        <v>614878,20|1,0,0</v>
      </c>
      <c r="B20" t="str">
        <f>CONCATENATE(615136,",",ROW(BCTCR_06608!B20),"|",COLUMN(BCTCR_06608!B20),",0",",0")</f>
        <v>615136,20|2,0,0</v>
      </c>
      <c r="C20" t="str">
        <f>CONCATENATE(615252,",",ROW(BCTCR_06608!C20),"|",COLUMN(BCTCR_06608!C20),",0",",0")</f>
        <v>615252,20|3,0,0</v>
      </c>
      <c r="D20" t="str">
        <f>CONCATENATE(614679,",",ROW(BCTCR_06608!D20),"|",COLUMN(BCTCR_06608!D20),",0",",0")</f>
        <v>614679,20|4,0,0</v>
      </c>
      <c r="E20" t="str">
        <f>CONCATENATE(614974,",",ROW(BCTCR_06608!E20),"|",COLUMN(BCTCR_06608!E20),",0",",0")</f>
        <v>614974,20|5,0,0</v>
      </c>
    </row>
    <row r="21" spans="1:5" x14ac:dyDescent="0.25">
      <c r="A21" t="str">
        <f>CONCATENATE(615211,",",ROW(BCTCR_06608!A21),"|",COLUMN(BCTCR_06608!A21),",0",",0")</f>
        <v>615211,21|1,0,0</v>
      </c>
      <c r="B21" t="str">
        <f>CONCATENATE(615011,",",ROW(BCTCR_06608!B21),"|",COLUMN(BCTCR_06608!B21),",0",",0")</f>
        <v>615011,21|2,0,0</v>
      </c>
      <c r="C21" t="str">
        <f>CONCATENATE(615300,",",ROW(BCTCR_06608!C21),"|",COLUMN(BCTCR_06608!C21),",0",",0")</f>
        <v>615300,21|3,0,0</v>
      </c>
      <c r="D21" t="str">
        <f>CONCATENATE(615096,",",ROW(BCTCR_06608!D21),"|",COLUMN(BCTCR_06608!D21),",0",",0")</f>
        <v>615096,21|4,0,0</v>
      </c>
      <c r="E21" t="str">
        <f>CONCATENATE(615184,",",ROW(BCTCR_06608!E21),"|",COLUMN(BCTCR_06608!E21),",0",",0")</f>
        <v>615184,21|5,0,0</v>
      </c>
    </row>
    <row r="22" spans="1:5" x14ac:dyDescent="0.25">
      <c r="A22" t="str">
        <f>CONCATENATE(614708,",",ROW(BCTCR_06608!A22),"|",COLUMN(BCTCR_06608!A22),",0",",0")</f>
        <v>614708,22|1,0,0</v>
      </c>
      <c r="B22" t="str">
        <f>CONCATENATE(614930,",",ROW(BCTCR_06608!B22),"|",COLUMN(BCTCR_06608!B22),",0",",0")</f>
        <v>614930,22|2,0,0</v>
      </c>
      <c r="C22" t="str">
        <f>CONCATENATE(615301,",",ROW(BCTCR_06608!C22),"|",COLUMN(BCTCR_06608!C22),",0",",0")</f>
        <v>615301,22|3,0,0</v>
      </c>
      <c r="D22" t="str">
        <f>CONCATENATE(615097,",",ROW(BCTCR_06608!D22),"|",COLUMN(BCTCR_06608!D22),",0",",0")</f>
        <v>615097,22|4,0,0</v>
      </c>
      <c r="E22" t="str">
        <f>CONCATENATE(615185,",",ROW(BCTCR_06608!E22),"|",COLUMN(BCTCR_06608!E22),",0",",0")</f>
        <v>615185,22|5,0,0</v>
      </c>
    </row>
    <row r="23" spans="1:5" x14ac:dyDescent="0.25">
      <c r="A23" t="str">
        <f>CONCATENATE(615237,",",ROW(BCTCR_06608!A23),"|",COLUMN(BCTCR_06608!A23),",0",",0")</f>
        <v>615237,23|1,0,0</v>
      </c>
      <c r="B23" t="str">
        <f>CONCATENATE(615137,",",ROW(BCTCR_06608!B23),"|",COLUMN(BCTCR_06608!B23),",0",",0")</f>
        <v>615137,23|2,0,0</v>
      </c>
      <c r="C23" t="str">
        <f>CONCATENATE(615288,",",ROW(BCTCR_06608!C23),"|",COLUMN(BCTCR_06608!C23),",0",",0")</f>
        <v>615288,23|3,0,0</v>
      </c>
      <c r="D23" t="str">
        <f>CONCATENATE(615060,",",ROW(BCTCR_06608!D23),"|",COLUMN(BCTCR_06608!D23),",0",",0")</f>
        <v>615060,23|4,0,0</v>
      </c>
      <c r="E23" t="str">
        <f>CONCATENATE(614766,",",ROW(BCTCR_06608!E23),"|",COLUMN(BCTCR_06608!E23),",0",",0")</f>
        <v>614766,23|5,0,0</v>
      </c>
    </row>
    <row r="24" spans="1:5" x14ac:dyDescent="0.25">
      <c r="A24" t="str">
        <f>CONCATENATE(615212,",",ROW(BCTCR_06608!A24),"|",COLUMN(BCTCR_06608!A24),",0",",0")</f>
        <v>615212,24|1,0,0</v>
      </c>
      <c r="B24" t="str">
        <f>CONCATENATE(614931,",",ROW(BCTCR_06608!B24),"|",COLUMN(BCTCR_06608!B24),",0",",0")</f>
        <v>614931,24|2,0,0</v>
      </c>
      <c r="C24" t="str">
        <f>CONCATENATE(615302,",",ROW(BCTCR_06608!C24),"|",COLUMN(BCTCR_06608!C24),",0",",0")</f>
        <v>615302,24|3,0,0</v>
      </c>
      <c r="D24" t="str">
        <f>CONCATENATE(615098,",",ROW(BCTCR_06608!D24),"|",COLUMN(BCTCR_06608!D24),",0",",0")</f>
        <v>615098,24|4,0,0</v>
      </c>
      <c r="E24" t="str">
        <f>CONCATENATE(615186,",",ROW(BCTCR_06608!E24),"|",COLUMN(BCTCR_06608!E24),",0",",0")</f>
        <v>615186,24|5,0,0</v>
      </c>
    </row>
    <row r="25" spans="1:5" x14ac:dyDescent="0.25">
      <c r="A25" t="str">
        <f>CONCATENATE(615238,",",ROW(BCTCR_06608!A25),"|",COLUMN(BCTCR_06608!A25),",0",",0")</f>
        <v>615238,25|1,0,0</v>
      </c>
      <c r="B25" t="str">
        <f>CONCATENATE(614932,",",ROW(BCTCR_06608!B25),"|",COLUMN(BCTCR_06608!B25),",0",",0")</f>
        <v>614932,25|2,0,0</v>
      </c>
      <c r="C25" t="str">
        <f>CONCATENATE(614797,",",ROW(BCTCR_06608!C25),"|",COLUMN(BCTCR_06608!C25),",0",",0")</f>
        <v>614797,25|3,0,0</v>
      </c>
      <c r="D25" t="str">
        <f>CONCATENATE(615061,",",ROW(BCTCR_06608!D25),"|",COLUMN(BCTCR_06608!D25),",0",",0")</f>
        <v>615061,25|4,0,0</v>
      </c>
      <c r="E25" t="str">
        <f>CONCATENATE(614767,",",ROW(BCTCR_06608!E25),"|",COLUMN(BCTCR_06608!E25),",0",",0")</f>
        <v>614767,25|5,0,0</v>
      </c>
    </row>
    <row r="26" spans="1:5" x14ac:dyDescent="0.25">
      <c r="A26" t="str">
        <f>CONCATENATE(614879,",",ROW(BCTCR_06608!A26),"|",COLUMN(BCTCR_06608!A26),",0",",0")</f>
        <v>614879,26|1,0,0</v>
      </c>
      <c r="B26" t="str">
        <f>CONCATENATE(614865,",",ROW(BCTCR_06608!B26),"|",COLUMN(BCTCR_06608!B26),",0",",0")</f>
        <v>614865,26|2,0,0</v>
      </c>
      <c r="C26" t="str">
        <f>CONCATENATE(615303,",",ROW(BCTCR_06608!C26),"|",COLUMN(BCTCR_06608!C26),",0",",0")</f>
        <v>615303,26|3,0,0</v>
      </c>
      <c r="D26" t="str">
        <f>CONCATENATE(615099,",",ROW(BCTCR_06608!D26),"|",COLUMN(BCTCR_06608!D26),",0",",0")</f>
        <v>615099,26|4,0,0</v>
      </c>
      <c r="E26" t="str">
        <f>CONCATENATE(615187,",",ROW(BCTCR_06608!E26),"|",COLUMN(BCTCR_06608!E26),",0",",0")</f>
        <v>615187,26|5,0,0</v>
      </c>
    </row>
    <row r="27" spans="1:5" x14ac:dyDescent="0.25">
      <c r="A27" t="str">
        <f>CONCATENATE(614709,",",ROW(BCTCR_06608!A27),"|",COLUMN(BCTCR_06608!A27),",0",",0")</f>
        <v>614709,27|1,0,0</v>
      </c>
      <c r="B27" t="str">
        <f>CONCATENATE(614866,",",ROW(BCTCR_06608!B27),"|",COLUMN(BCTCR_06608!B27),",0",",0")</f>
        <v>614866,27|2,0,0</v>
      </c>
      <c r="C27" t="str">
        <f>CONCATENATE(615304,",",ROW(BCTCR_06608!C27),"|",COLUMN(BCTCR_06608!C27),",0",",0")</f>
        <v>615304,27|3,0,0</v>
      </c>
      <c r="D27" t="str">
        <f>CONCATENATE(615100,",",ROW(BCTCR_06608!D27),"|",COLUMN(BCTCR_06608!D27),",0",",0")</f>
        <v>615100,27|4,0,0</v>
      </c>
      <c r="E27" t="str">
        <f>CONCATENATE(615188,",",ROW(BCTCR_06608!E27),"|",COLUMN(BCTCR_06608!E27),",0",",0")</f>
        <v>615188,27|5,0,0</v>
      </c>
    </row>
    <row r="28" spans="1:5" x14ac:dyDescent="0.25">
      <c r="A28" t="str">
        <f>CONCATENATE(614710,",",ROW(BCTCR_06608!A28),"|",COLUMN(BCTCR_06608!A28),",0",",0")</f>
        <v>614710,28|1,0,0</v>
      </c>
      <c r="B28" t="str">
        <f>CONCATENATE(614763,",",ROW(BCTCR_06608!B28),"|",COLUMN(BCTCR_06608!B28),",0",",0")</f>
        <v>614763,28|2,0,0</v>
      </c>
      <c r="C28" t="str">
        <f>CONCATENATE(615253,",",ROW(BCTCR_06608!C28),"|",COLUMN(BCTCR_06608!C28),",0",",0")</f>
        <v>615253,28|3,0,0</v>
      </c>
      <c r="D28" t="str">
        <f>CONCATENATE(614680,",",ROW(BCTCR_06608!D28),"|",COLUMN(BCTCR_06608!D28),",0",",0")</f>
        <v>614680,28|4,0,0</v>
      </c>
      <c r="E28" t="str">
        <f>CONCATENATE(614975,",",ROW(BCTCR_06608!E28),"|",COLUMN(BCTCR_06608!E28),",0",",0")</f>
        <v>614975,28|5,0,0</v>
      </c>
    </row>
    <row r="29" spans="1:5" x14ac:dyDescent="0.25">
      <c r="A29" t="str">
        <f>CONCATENATE(615213,",",ROW(BCTCR_06608!A29),"|",COLUMN(BCTCR_06608!A29),",0",",0")</f>
        <v>615213,29|1,0,0</v>
      </c>
      <c r="B29" t="str">
        <f>CONCATENATE(615087,",",ROW(BCTCR_06608!B29),"|",COLUMN(BCTCR_06608!B29),",0",",0")</f>
        <v>615087,29|2,0,0</v>
      </c>
      <c r="C29" t="str">
        <f>CONCATENATE(615154,",",ROW(BCTCR_06608!C29),"|",COLUMN(BCTCR_06608!C29),",0",",0")</f>
        <v>615154,29|3,0,0</v>
      </c>
      <c r="D29" t="str">
        <f>CONCATENATE(615101,",",ROW(BCTCR_06608!D29),"|",COLUMN(BCTCR_06608!D29),",0",",0")</f>
        <v>615101,29|4,0,0</v>
      </c>
      <c r="E29" t="str">
        <f>CONCATENATE(615189,",",ROW(BCTCR_06608!E29),"|",COLUMN(BCTCR_06608!E29),",0",",0")</f>
        <v>615189,29|5,0,0</v>
      </c>
    </row>
    <row r="30" spans="1:5" x14ac:dyDescent="0.25">
      <c r="A30" t="str">
        <f>CONCATENATE(615214,",",ROW(BCTCR_06608!A30),"|",COLUMN(BCTCR_06608!A30),",0",",0")</f>
        <v>615214,30|1,0,0</v>
      </c>
      <c r="B30" t="str">
        <f>CONCATENATE(615012,",",ROW(BCTCR_06608!B30),"|",COLUMN(BCTCR_06608!B30),",0",",0")</f>
        <v>615012,30|2,0,0</v>
      </c>
      <c r="C30" t="str">
        <f>CONCATENATE(614810,",",ROW(BCTCR_06608!C30),"|",COLUMN(BCTCR_06608!C30),",0",",0")</f>
        <v>614810,30|3,0,0</v>
      </c>
      <c r="D30" t="str">
        <f>CONCATENATE(615102,",",ROW(BCTCR_06608!D30),"|",COLUMN(BCTCR_06608!D30),",0",",0")</f>
        <v>615102,30|4,0,0</v>
      </c>
      <c r="E30" t="str">
        <f>CONCATENATE(615190,",",ROW(BCTCR_06608!E30),"|",COLUMN(BCTCR_06608!E30),",0",",0")</f>
        <v>615190,30|5,0,0</v>
      </c>
    </row>
    <row r="31" spans="1:5" x14ac:dyDescent="0.25">
      <c r="A31" t="str">
        <f>CONCATENATE(614934,",",ROW(BCTCR_06608!A31),"|",COLUMN(BCTCR_06608!A31),",0",",0")</f>
        <v>614934,31|1,0,0</v>
      </c>
      <c r="B31" t="str">
        <f>CONCATENATE(615138,",",ROW(BCTCR_06608!B31),"|",COLUMN(BCTCR_06608!B31),",0",",0")</f>
        <v>615138,31|2,0,0</v>
      </c>
      <c r="C31" t="str">
        <f>CONCATENATE(615254,",",ROW(BCTCR_06608!C31),"|",COLUMN(BCTCR_06608!C31),",0",",0")</f>
        <v>615254,31|3,0,0</v>
      </c>
      <c r="D31" t="str">
        <f>CONCATENATE(614681,",",ROW(BCTCR_06608!D31),"|",COLUMN(BCTCR_06608!D31),",0",",0")</f>
        <v>614681,31|4,0,0</v>
      </c>
      <c r="E31" t="str">
        <f>CONCATENATE(614976,",",ROW(BCTCR_06608!E31),"|",COLUMN(BCTCR_06608!E31),",0",",0")</f>
        <v>614976,31|5,0,0</v>
      </c>
    </row>
    <row r="32" spans="1:5" x14ac:dyDescent="0.25">
      <c r="A32" t="str">
        <f>CONCATENATE(615133,",",ROW(BCTCR_06608!A32),"|",COLUMN(BCTCR_06608!A32),",0",",0")</f>
        <v>615133,32|1,0,0</v>
      </c>
      <c r="B32" t="str">
        <f>CONCATENATE(614867,",",ROW(BCTCR_06608!B32),"|",COLUMN(BCTCR_06608!B32),",0",",0")</f>
        <v>614867,32|2,0,0</v>
      </c>
      <c r="C32" t="str">
        <f>CONCATENATE(615250,",",ROW(BCTCR_06608!C32),"|",COLUMN(BCTCR_06608!C32),",0",",0")</f>
        <v>615250,32|3,0,0</v>
      </c>
      <c r="D32" t="str">
        <f>CONCATENATE(614677,",",ROW(BCTCR_06608!D32),"|",COLUMN(BCTCR_06608!D32),",0",",0")</f>
        <v>614677,32|4,0,0</v>
      </c>
      <c r="E32" t="str">
        <f>CONCATENATE(614940,",",ROW(BCTCR_06608!E32),"|",COLUMN(BCTCR_06608!E32),",0",",0")</f>
        <v>614940,32|5,0,0</v>
      </c>
    </row>
    <row r="33" spans="1:5" x14ac:dyDescent="0.25">
      <c r="A33" t="str">
        <f>CONCATENATE(615215,",",ROW(BCTCR_06608!A33),"|",COLUMN(BCTCR_06608!A33),",0",",0")</f>
        <v>615215,33|1,0,0</v>
      </c>
      <c r="B33" t="str">
        <f>CONCATENATE(615013,",",ROW(BCTCR_06608!B33),"|",COLUMN(BCTCR_06608!B33),",0",",0")</f>
        <v>615013,33|2,0,0</v>
      </c>
      <c r="C33" t="str">
        <f>CONCATENATE(614811,",",ROW(BCTCR_06608!C33),"|",COLUMN(BCTCR_06608!C33),",0",",0")</f>
        <v>614811,33|3,0,0</v>
      </c>
      <c r="D33" t="str">
        <f>CONCATENATE(615103,",",ROW(BCTCR_06608!D33),"|",COLUMN(BCTCR_06608!D33),",0",",0")</f>
        <v>615103,33|4,0,0</v>
      </c>
      <c r="E33" t="str">
        <f>CONCATENATE(615191,",",ROW(BCTCR_06608!E33),"|",COLUMN(BCTCR_06608!E33),",0",",0")</f>
        <v>615191,33|5,0,0</v>
      </c>
    </row>
    <row r="34" spans="1:5" x14ac:dyDescent="0.25">
      <c r="A34" t="str">
        <f>CONCATENATE(614880,",",ROW(BCTCR_06608!A34),"|",COLUMN(BCTCR_06608!A34),",0",",0")</f>
        <v>614880,34|1,0,0</v>
      </c>
      <c r="B34" t="str">
        <f>CONCATENATE(614933,",",ROW(BCTCR_06608!B34),"|",COLUMN(BCTCR_06608!B34),",0",",0")</f>
        <v>614933,34|2,0,0</v>
      </c>
      <c r="C34" t="str">
        <f>CONCATENATE(614812,",",ROW(BCTCR_06608!C34),"|",COLUMN(BCTCR_06608!C34),",0",",0")</f>
        <v>614812,34|3,0,0</v>
      </c>
      <c r="D34" t="str">
        <f>CONCATENATE(615104,",",ROW(BCTCR_06608!D34),"|",COLUMN(BCTCR_06608!D34),",0",",0")</f>
        <v>615104,34|4,0,0</v>
      </c>
      <c r="E34" t="str">
        <f>CONCATENATE(615192,",",ROW(BCTCR_06608!E34),"|",COLUMN(BCTCR_06608!E34),",0",",0")</f>
        <v>615192,34|5,0,0</v>
      </c>
    </row>
    <row r="35" spans="1:5" x14ac:dyDescent="0.25">
      <c r="A35" t="str">
        <f>CONCATENATE(615216,",",ROW(BCTCR_06608!A35),"|",COLUMN(BCTCR_06608!A35),",0",",0")</f>
        <v>615216,35|1,0,0</v>
      </c>
      <c r="B35" t="str">
        <f>CONCATENATE(615014,",",ROW(BCTCR_06608!B35),"|",COLUMN(BCTCR_06608!B35),",0",",0")</f>
        <v>615014,35|2,0,0</v>
      </c>
      <c r="C35" t="str">
        <f>CONCATENATE(614813,",",ROW(BCTCR_06608!C35),"|",COLUMN(BCTCR_06608!C35),",0",",0")</f>
        <v>614813,35|3,0,0</v>
      </c>
      <c r="D35" t="str">
        <f>CONCATENATE(615105,",",ROW(BCTCR_06608!D35),"|",COLUMN(BCTCR_06608!D35),",0",",0")</f>
        <v>615105,35|4,0,0</v>
      </c>
      <c r="E35" t="str">
        <f>CONCATENATE(615193,",",ROW(BCTCR_06608!E35),"|",COLUMN(BCTCR_06608!E35),",0",",0")</f>
        <v>615193,35|5,0,0</v>
      </c>
    </row>
    <row r="36" spans="1:5" x14ac:dyDescent="0.25">
      <c r="A36" t="str">
        <f>CONCATENATE(614881,",",ROW(BCTCR_06608!A36),"|",COLUMN(BCTCR_06608!A36),",0",",0")</f>
        <v>614881,36|1,0,0</v>
      </c>
      <c r="B36" t="str">
        <f>CONCATENATE(615088,",",ROW(BCTCR_06608!B36),"|",COLUMN(BCTCR_06608!B36),",0",",0")</f>
        <v>615088,36|2,0,0</v>
      </c>
      <c r="C36" t="str">
        <f>CONCATENATE(614814,",",ROW(BCTCR_06608!C36),"|",COLUMN(BCTCR_06608!C36),",0",",0")</f>
        <v>614814,36|3,0,0</v>
      </c>
      <c r="D36" t="str">
        <f>CONCATENATE(615106,",",ROW(BCTCR_06608!D36),"|",COLUMN(BCTCR_06608!D36),",0",",0")</f>
        <v>615106,36|4,0,0</v>
      </c>
      <c r="E36" t="str">
        <f>CONCATENATE(615194,",",ROW(BCTCR_06608!E36),"|",COLUMN(BCTCR_06608!E36),",0",",0")</f>
        <v>615194,36|5,0,0</v>
      </c>
    </row>
    <row r="37" spans="1:5" x14ac:dyDescent="0.25">
      <c r="A37" t="str">
        <f>CONCATENATE(614935,",",ROW(BCTCR_06608!A37),"|",COLUMN(BCTCR_06608!A37),",0",",0")</f>
        <v>614935,37|1,0,0</v>
      </c>
      <c r="B37" t="str">
        <f>CONCATENATE(615139,",",ROW(BCTCR_06608!B37),"|",COLUMN(BCTCR_06608!B37),",0",",0")</f>
        <v>615139,37|2,0,0</v>
      </c>
      <c r="C37" t="str">
        <f>CONCATENATE(615256,",",ROW(BCTCR_06608!C37),"|",COLUMN(BCTCR_06608!C37),",0",",0")</f>
        <v>615256,37|3,0,0</v>
      </c>
      <c r="D37" t="str">
        <f>CONCATENATE(614658,",",ROW(BCTCR_06608!D37),"|",COLUMN(BCTCR_06608!D37),",0",",0")</f>
        <v>614658,37|4,0,0</v>
      </c>
      <c r="E37" t="str">
        <f>CONCATENATE(614977,",",ROW(BCTCR_06608!E37),"|",COLUMN(BCTCR_06608!E37),",0",",0")</f>
        <v>614977,37|5,0,0</v>
      </c>
    </row>
    <row r="38" spans="1:5" x14ac:dyDescent="0.25">
      <c r="A38" t="str">
        <f>CONCATENATE(615239,",",ROW(BCTCR_06608!A38),"|",COLUMN(BCTCR_06608!A38),",0",",0")</f>
        <v>615239,38|1,0,0</v>
      </c>
      <c r="B38" t="str">
        <f>CONCATENATE(615089,",",ROW(BCTCR_06608!B38),"|",COLUMN(BCTCR_06608!B38),",0",",0")</f>
        <v>615089,38|2,0,0</v>
      </c>
      <c r="C38" t="str">
        <f>CONCATENATE(614798,",",ROW(BCTCR_06608!C38),"|",COLUMN(BCTCR_06608!C38),",0",",0")</f>
        <v>614798,38|3,0,0</v>
      </c>
      <c r="D38" t="str">
        <f>CONCATENATE(615062,",",ROW(BCTCR_06608!D38),"|",COLUMN(BCTCR_06608!D38),",0",",0")</f>
        <v>615062,38|4,0,0</v>
      </c>
      <c r="E38" t="str">
        <f>CONCATENATE(614768,",",ROW(BCTCR_06608!E38),"|",COLUMN(BCTCR_06608!E38),",0",",0")</f>
        <v>614768,38|5,0,0</v>
      </c>
    </row>
    <row r="39" spans="1:5" x14ac:dyDescent="0.25">
      <c r="A39" t="str">
        <f>CONCATENATE(614882,",",ROW(BCTCR_06608!A39),"|",COLUMN(BCTCR_06608!A39),",0",",0")</f>
        <v>614882,39|1,0,0</v>
      </c>
      <c r="B39" t="str">
        <f>CONCATENATE(615090,",",ROW(BCTCR_06608!B39),"|",COLUMN(BCTCR_06608!B39),",0",",0")</f>
        <v>615090,39|2,0,0</v>
      </c>
      <c r="C39" t="str">
        <f>CONCATENATE(614894,",",ROW(BCTCR_06608!C39),"|",COLUMN(BCTCR_06608!C39),",0",",0")</f>
        <v>614894,39|3,0,0</v>
      </c>
      <c r="D39" t="str">
        <f>CONCATENATE(615107,",",ROW(BCTCR_06608!D39),"|",COLUMN(BCTCR_06608!D39),",0",",0")</f>
        <v>615107,39|4,0,0</v>
      </c>
      <c r="E39" t="str">
        <f>CONCATENATE(615195,",",ROW(BCTCR_06608!E39),"|",COLUMN(BCTCR_06608!E39),",0",",0")</f>
        <v>615195,39|5,0,0</v>
      </c>
    </row>
    <row r="40" spans="1:5" x14ac:dyDescent="0.25">
      <c r="A40" t="str">
        <f>CONCATENATE(614942,",",ROW(BCTCR_06608!A40),"|",COLUMN(BCTCR_06608!A40),",0",",0")</f>
        <v>614942,40|1,0,0</v>
      </c>
      <c r="B40" t="str">
        <f>CONCATENATE(615140,",",ROW(BCTCR_06608!B40),"|",COLUMN(BCTCR_06608!B40),",0",",0")</f>
        <v>615140,40|2,0,0</v>
      </c>
      <c r="C40" t="str">
        <f>CONCATENATE(615257,",",ROW(BCTCR_06608!C40),"|",COLUMN(BCTCR_06608!C40),",0",",0")</f>
        <v>615257,40|3,0,0</v>
      </c>
      <c r="D40" t="str">
        <f>CONCATENATE(614666,",",ROW(BCTCR_06608!D40),"|",COLUMN(BCTCR_06608!D40),",0",",0")</f>
        <v>614666,40|4,0,0</v>
      </c>
      <c r="E40" t="str">
        <f>CONCATENATE(614978,",",ROW(BCTCR_06608!E40),"|",COLUMN(BCTCR_06608!E40),",0",",0")</f>
        <v>614978,40|5,0,0</v>
      </c>
    </row>
    <row r="41" spans="1:5" x14ac:dyDescent="0.25">
      <c r="A41" t="str">
        <f>CONCATENATE(614883,",",ROW(BCTCR_06608!A41),"|",COLUMN(BCTCR_06608!A41),",0",",0")</f>
        <v>614883,41|1,0,0</v>
      </c>
      <c r="B41" t="str">
        <f>CONCATENATE(615146,",",ROW(BCTCR_06608!B41),"|",COLUMN(BCTCR_06608!B41),",0",",0")</f>
        <v>615146,41|2,0,0</v>
      </c>
      <c r="C41" t="str">
        <f>CONCATENATE(614815,",",ROW(BCTCR_06608!C41),"|",COLUMN(BCTCR_06608!C41),",0",",0")</f>
        <v>614815,41|3,0,0</v>
      </c>
      <c r="D41" t="str">
        <f>CONCATENATE(615108,",",ROW(BCTCR_06608!D41),"|",COLUMN(BCTCR_06608!D41),",0",",0")</f>
        <v>615108,41|4,0,0</v>
      </c>
      <c r="E41" t="str">
        <f>CONCATENATE(615196,",",ROW(BCTCR_06608!E41),"|",COLUMN(BCTCR_06608!E41),",0",",0")</f>
        <v>615196,41|5,0,0</v>
      </c>
    </row>
    <row r="42" spans="1:5" x14ac:dyDescent="0.25">
      <c r="A42" t="str">
        <f>CONCATENATE(614936,",",ROW(BCTCR_06608!A42),"|",COLUMN(BCTCR_06608!A42),",0",",0")</f>
        <v>614936,42|1,0,0</v>
      </c>
      <c r="B42" t="str">
        <f>CONCATENATE(615043,",",ROW(BCTCR_06608!B42),"|",COLUMN(BCTCR_06608!B42),",0",",0")</f>
        <v>615043,42|2,0,0</v>
      </c>
      <c r="C42" t="str">
        <f>CONCATENATE(615285,",",ROW(BCTCR_06608!C42),"|",COLUMN(BCTCR_06608!C42),",0",",0")</f>
        <v>615285,42|3,0,0</v>
      </c>
      <c r="D42" t="str">
        <f>CONCATENATE(614662,",",ROW(BCTCR_06608!D42),"|",COLUMN(BCTCR_06608!D42),",0",",0")</f>
        <v>614662,42|4,0,0</v>
      </c>
      <c r="E42" t="str">
        <f>CONCATENATE(615172,",",ROW(BCTCR_06608!E42),"|",COLUMN(BCTCR_06608!E42),",0",",0")</f>
        <v>615172,42|5,0,0</v>
      </c>
    </row>
    <row r="43" spans="1:5" x14ac:dyDescent="0.25">
      <c r="A43" t="str">
        <f>CONCATENATE(615217,",",ROW(BCTCR_06608!A43),"|",COLUMN(BCTCR_06608!A43),",0",",0")</f>
        <v>615217,43|1,0,0</v>
      </c>
      <c r="B43" t="str">
        <f>CONCATENATE(615044,",",ROW(BCTCR_06608!B43),"|",COLUMN(BCTCR_06608!B43),",0",",0")</f>
        <v>615044,43|2,0,0</v>
      </c>
      <c r="C43" t="str">
        <f>CONCATENATE(614816,",",ROW(BCTCR_06608!C43),"|",COLUMN(BCTCR_06608!C43),",0",",0")</f>
        <v>614816,43|3,0,0</v>
      </c>
      <c r="D43" t="str">
        <f>CONCATENATE(615109,",",ROW(BCTCR_06608!D43),"|",COLUMN(BCTCR_06608!D43),",0",",0")</f>
        <v>615109,43|4,0,0</v>
      </c>
      <c r="E43" t="str">
        <f>CONCATENATE(615197,",",ROW(BCTCR_06608!E43),"|",COLUMN(BCTCR_06608!E43),",0",",0")</f>
        <v>615197,43|5,0,0</v>
      </c>
    </row>
    <row r="44" spans="1:5" x14ac:dyDescent="0.25">
      <c r="A44" t="str">
        <f>CONCATENATE(615240,",",ROW(BCTCR_06608!A44),"|",COLUMN(BCTCR_06608!A44),",0",",0")</f>
        <v>615240,44|1,0,0</v>
      </c>
      <c r="B44" t="str">
        <f>CONCATENATE(614907,",",ROW(BCTCR_06608!B44),"|",COLUMN(BCTCR_06608!B44),",0",",0")</f>
        <v>614907,44|2,0,0</v>
      </c>
      <c r="C44" t="str">
        <f>CONCATENATE(614799,",",ROW(BCTCR_06608!C44),"|",COLUMN(BCTCR_06608!C44),",0",",0")</f>
        <v>614799,44|3,0,0</v>
      </c>
      <c r="D44" t="str">
        <f>CONCATENATE(615063,",",ROW(BCTCR_06608!D44),"|",COLUMN(BCTCR_06608!D44),",0",",0")</f>
        <v>615063,44|4,0,0</v>
      </c>
      <c r="E44" t="str">
        <f>CONCATENATE(614769,",",ROW(BCTCR_06608!E44),"|",COLUMN(BCTCR_06608!E44),",0",",0")</f>
        <v>614769,44|5,0,0</v>
      </c>
    </row>
    <row r="45" spans="1:5" x14ac:dyDescent="0.25">
      <c r="A45" t="str">
        <f>CONCATENATE(615092,",",ROW(BCTCR_06608!A45),"|",COLUMN(BCTCR_06608!A45),",0",",0")</f>
        <v>615092,45|1,0,0</v>
      </c>
      <c r="B45" t="str">
        <f>CONCATENATE(615015,",",ROW(BCTCR_06608!B45),"|",COLUMN(BCTCR_06608!B45),",0",",0")</f>
        <v>615015,45|2,0,0</v>
      </c>
      <c r="C45" t="str">
        <f>CONCATENATE(615286,",",ROW(BCTCR_06608!C45),"|",COLUMN(BCTCR_06608!C45),",0",",0")</f>
        <v>615286,45|3,0,0</v>
      </c>
      <c r="D45" t="str">
        <f>CONCATENATE(614663,",",ROW(BCTCR_06608!D45),"|",COLUMN(BCTCR_06608!D45),",0",",0")</f>
        <v>614663,45|4,0,0</v>
      </c>
      <c r="E45" t="str">
        <f>CONCATENATE(615173,",",ROW(BCTCR_06608!E45),"|",COLUMN(BCTCR_06608!E45),",0",",0")</f>
        <v>615173,45|5,0,0</v>
      </c>
    </row>
    <row r="46" spans="1:5" x14ac:dyDescent="0.25">
      <c r="A46" t="str">
        <f>CONCATENATE(614923,",",ROW(BCTCR_06608!A46),"|",COLUMN(BCTCR_06608!A46),",0",",0")</f>
        <v>614923,46|1,0,0</v>
      </c>
      <c r="B46" t="str">
        <f>CONCATENATE(614868,",",ROW(BCTCR_06608!B46),"|",COLUMN(BCTCR_06608!B46),",0",",0")</f>
        <v>614868,46|2,0,0</v>
      </c>
      <c r="C46" t="str">
        <f>CONCATENATE(615287,",",ROW(BCTCR_06608!C46),"|",COLUMN(BCTCR_06608!C46),",0",",0")</f>
        <v>615287,46|3,0,0</v>
      </c>
      <c r="D46" t="str">
        <f>CONCATENATE(614664,",",ROW(BCTCR_06608!D46),"|",COLUMN(BCTCR_06608!D46),",0",",0")</f>
        <v>614664,46|4,0,0</v>
      </c>
      <c r="E46" t="str">
        <f>CONCATENATE(615174,",",ROW(BCTCR_06608!E46),"|",COLUMN(BCTCR_06608!E46),",0",",0")</f>
        <v>615174,46|5,0,0</v>
      </c>
    </row>
    <row r="47" spans="1:5" x14ac:dyDescent="0.25">
      <c r="A47" t="str">
        <f>CONCATENATE(614924,",",ROW(BCTCR_06608!A47),"|",COLUMN(BCTCR_06608!A47),",0",",0")</f>
        <v>614924,47|1,0,0</v>
      </c>
      <c r="B47" t="str">
        <f>CONCATENATE(614684,",",ROW(BCTCR_06608!B47),"|",COLUMN(BCTCR_06608!B47),",0",",0")</f>
        <v>614684,47|2,0,0</v>
      </c>
      <c r="C47" t="str">
        <f>CONCATENATE(615289,",",ROW(BCTCR_06608!C47),"|",COLUMN(BCTCR_06608!C47),",0",",0")</f>
        <v>615289,47|3,0,0</v>
      </c>
      <c r="D47" t="str">
        <f>CONCATENATE(614665,",",ROW(BCTCR_06608!D47),"|",COLUMN(BCTCR_06608!D47),",0",",0")</f>
        <v>614665,47|4,0,0</v>
      </c>
      <c r="E47" t="str">
        <f>CONCATENATE(615175,",",ROW(BCTCR_06608!E47),"|",COLUMN(BCTCR_06608!E47),",0",",0")</f>
        <v>615175,47|5,0,0</v>
      </c>
    </row>
    <row r="48" spans="1:5" x14ac:dyDescent="0.25">
      <c r="A48" t="str">
        <f>CONCATENATE(614884,",",ROW(BCTCR_06608!A48),"|",COLUMN(BCTCR_06608!A48),",0",",0")</f>
        <v>614884,48|1,0,0</v>
      </c>
      <c r="B48" t="str">
        <f>CONCATENATE(614779,",",ROW(BCTCR_06608!B48),"|",COLUMN(BCTCR_06608!B48),",0",",0")</f>
        <v>614779,48|2,0,0</v>
      </c>
      <c r="C48" t="str">
        <f>CONCATENATE(614817,",",ROW(BCTCR_06608!C48),"|",COLUMN(BCTCR_06608!C48),",0",",0")</f>
        <v>614817,48|3,0,0</v>
      </c>
      <c r="D48" t="str">
        <f>CONCATENATE(615110,",",ROW(BCTCR_06608!D48),"|",COLUMN(BCTCR_06608!D48),",0",",0")</f>
        <v>615110,48|4,0,0</v>
      </c>
      <c r="E48" t="str">
        <f>CONCATENATE(615198,",",ROW(BCTCR_06608!E48),"|",COLUMN(BCTCR_06608!E48),",0",",0")</f>
        <v>615198,48|5,0,0</v>
      </c>
    </row>
    <row r="49" spans="1:5" x14ac:dyDescent="0.25">
      <c r="A49" t="str">
        <f>CONCATENATE(614885,",",ROW(BCTCR_06608!A49),"|",COLUMN(BCTCR_06608!A49),",0",",0")</f>
        <v>614885,49|1,0,0</v>
      </c>
      <c r="B49" t="str">
        <f>CONCATENATE(614685,",",ROW(BCTCR_06608!B49),"|",COLUMN(BCTCR_06608!B49),",0",",0")</f>
        <v>614685,49|2,0,0</v>
      </c>
      <c r="C49" t="str">
        <f>CONCATENATE(614818,",",ROW(BCTCR_06608!C49),"|",COLUMN(BCTCR_06608!C49),",0",",0")</f>
        <v>614818,49|3,0,0</v>
      </c>
      <c r="D49" t="str">
        <f>CONCATENATE(615111,",",ROW(BCTCR_06608!D49),"|",COLUMN(BCTCR_06608!D49),",0",",0")</f>
        <v>615111,49|4,0,0</v>
      </c>
      <c r="E49" t="str">
        <f>CONCATENATE(615199,",",ROW(BCTCR_06608!E49),"|",COLUMN(BCTCR_06608!E49),",0",",0")</f>
        <v>615199,49|5,0,0</v>
      </c>
    </row>
    <row r="50" spans="1:5" x14ac:dyDescent="0.25">
      <c r="A50" t="str">
        <f>CONCATENATE(615218,",",ROW(BCTCR_06608!A50),"|",COLUMN(BCTCR_06608!A50),",0",",0")</f>
        <v>615218,50|1,0,0</v>
      </c>
      <c r="B50" t="str">
        <f>CONCATENATE(614686,",",ROW(BCTCR_06608!B50),"|",COLUMN(BCTCR_06608!B50),",0",",0")</f>
        <v>614686,50|2,0,0</v>
      </c>
      <c r="C50" t="str">
        <f>CONCATENATE(614819,",",ROW(BCTCR_06608!C50),"|",COLUMN(BCTCR_06608!C50),",0",",0")</f>
        <v>614819,50|3,0,0</v>
      </c>
      <c r="D50" t="str">
        <f>CONCATENATE(615112,",",ROW(BCTCR_06608!D50),"|",COLUMN(BCTCR_06608!D50),",0",",0")</f>
        <v>615112,50|4,0,0</v>
      </c>
      <c r="E50" t="str">
        <f>CONCATENATE(615200,",",ROW(BCTCR_06608!E50),"|",COLUMN(BCTCR_06608!E50),",0",",0")</f>
        <v>615200,50|5,0,0</v>
      </c>
    </row>
    <row r="51" spans="1:5" x14ac:dyDescent="0.25">
      <c r="A51" t="str">
        <f>CONCATENATE(615219,",",ROW(BCTCR_06608!A51),"|",COLUMN(BCTCR_06608!A51),",0",",0")</f>
        <v>615219,51|1,0,0</v>
      </c>
      <c r="B51" t="str">
        <f>CONCATENATE(614687,",",ROW(BCTCR_06608!B51),"|",COLUMN(BCTCR_06608!B51),",0",",0")</f>
        <v>614687,51|2,0,0</v>
      </c>
      <c r="C51" t="str">
        <f>CONCATENATE(614820,",",ROW(BCTCR_06608!C51),"|",COLUMN(BCTCR_06608!C51),",0",",0")</f>
        <v>614820,51|3,0,0</v>
      </c>
      <c r="D51" t="str">
        <f>CONCATENATE(615113,",",ROW(BCTCR_06608!D51),"|",COLUMN(BCTCR_06608!D51),",0",",0")</f>
        <v>615113,51|4,0,0</v>
      </c>
      <c r="E51" t="str">
        <f>CONCATENATE(615201,",",ROW(BCTCR_06608!E51),"|",COLUMN(BCTCR_06608!E51),",0",",0")</f>
        <v>615201,51|5,0,0</v>
      </c>
    </row>
    <row r="52" spans="1:5" x14ac:dyDescent="0.25">
      <c r="A52" t="str">
        <f>CONCATENATE(615241,",",ROW(BCTCR_06608!A52),"|",COLUMN(BCTCR_06608!A52),",0",",0")</f>
        <v>615241,52|1,0,0</v>
      </c>
      <c r="B52" t="str">
        <f>CONCATENATE(614688,",",ROW(BCTCR_06608!B52),"|",COLUMN(BCTCR_06608!B52),",0",",0")</f>
        <v>614688,52|2,0,0</v>
      </c>
      <c r="C52" t="str">
        <f>CONCATENATE(614800,",",ROW(BCTCR_06608!C52),"|",COLUMN(BCTCR_06608!C52),",0",",0")</f>
        <v>614800,52|3,0,0</v>
      </c>
      <c r="D52" t="str">
        <f>CONCATENATE(615064,",",ROW(BCTCR_06608!D52),"|",COLUMN(BCTCR_06608!D52),",0",",0")</f>
        <v>615064,52|4,0,0</v>
      </c>
      <c r="E52" t="str">
        <f>CONCATENATE(614706,",",ROW(BCTCR_06608!E52),"|",COLUMN(BCTCR_06608!E52),",0",",0")</f>
        <v>614706,52|5,0,0</v>
      </c>
    </row>
    <row r="53" spans="1:5" x14ac:dyDescent="0.25">
      <c r="A53" t="str">
        <f>CONCATENATE(615242,",",ROW(BCTCR_06608!A53),"|",COLUMN(BCTCR_06608!A53),",0",",0")</f>
        <v>615242,53|1,0,0</v>
      </c>
      <c r="B53" t="str">
        <f>CONCATENATE(615141,",",ROW(BCTCR_06608!B53),"|",COLUMN(BCTCR_06608!B53),",0",",0")</f>
        <v>615141,53|2,0,0</v>
      </c>
      <c r="C53" t="str">
        <f>CONCATENATE(614801,",",ROW(BCTCR_06608!C53),"|",COLUMN(BCTCR_06608!C53),",0",",0")</f>
        <v>614801,53|3,0,0</v>
      </c>
      <c r="D53" t="str">
        <f>CONCATENATE(615065,",",ROW(BCTCR_06608!D53),"|",COLUMN(BCTCR_06608!D53),",0",",0")</f>
        <v>615065,53|4,0,0</v>
      </c>
      <c r="E53" t="str">
        <f>CONCATENATE(614707,",",ROW(BCTCR_06608!E53),"|",COLUMN(BCTCR_06608!E53),",0",",0")</f>
        <v>614707,53|5,0,0</v>
      </c>
    </row>
    <row r="54" spans="1:5" x14ac:dyDescent="0.25">
      <c r="A54" t="str">
        <f>CONCATENATE(614904,",",ROW(BCTCR_06608!A54),"|",COLUMN(BCTCR_06608!A54),",0",",0")</f>
        <v>614904,54|1,0,0</v>
      </c>
      <c r="B54" t="str">
        <f>CONCATENATE(614689,",",ROW(BCTCR_06608!B54),"|",COLUMN(BCTCR_06608!B54),",0",",0")</f>
        <v>614689,54|2,0,0</v>
      </c>
      <c r="C54" t="str">
        <f>CONCATENATE(614821,",",ROW(BCTCR_06608!C54),"|",COLUMN(BCTCR_06608!C54),",0",",0")</f>
        <v>614821,54|3,0,0</v>
      </c>
      <c r="D54" t="str">
        <f>CONCATENATE(615114,",",ROW(BCTCR_06608!D54),"|",COLUMN(BCTCR_06608!D54),",0",",0")</f>
        <v>615114,54|4,0,0</v>
      </c>
      <c r="E54" t="str">
        <f>CONCATENATE(615202,",",ROW(BCTCR_06608!E54),"|",COLUMN(BCTCR_06608!E54),",0",",0")</f>
        <v>615202,54|5,0,0</v>
      </c>
    </row>
    <row r="55" spans="1:5" x14ac:dyDescent="0.25">
      <c r="A55" t="str">
        <f>CONCATENATE(615243,",",ROW(BCTCR_06608!A55),"|",COLUMN(BCTCR_06608!A55),",0",",0")</f>
        <v>615243,55|1,0,0</v>
      </c>
      <c r="B55" t="str">
        <f>CONCATENATE(615016,",",ROW(BCTCR_06608!B55),"|",COLUMN(BCTCR_06608!B55),",0",",0")</f>
        <v>615016,55|2,0,0</v>
      </c>
      <c r="C55" t="str">
        <f>CONCATENATE(614802,",",ROW(BCTCR_06608!C55),"|",COLUMN(BCTCR_06608!C55),",0",",0")</f>
        <v>614802,55|3,0,0</v>
      </c>
      <c r="D55" t="str">
        <f>CONCATENATE(615066,",",ROW(BCTCR_06608!D55),"|",COLUMN(BCTCR_06608!D55),",0",",0")</f>
        <v>615066,55|4,0,0</v>
      </c>
      <c r="E55" t="str">
        <f>CONCATENATE(614645,",",ROW(BCTCR_06608!E55),"|",COLUMN(BCTCR_06608!E55),",0",",0")</f>
        <v>614645,55|5,0,0</v>
      </c>
    </row>
    <row r="56" spans="1:5" x14ac:dyDescent="0.25">
      <c r="A56" t="str">
        <f>CONCATENATE(615244,",",ROW(BCTCR_06608!A56),"|",COLUMN(BCTCR_06608!A56),",0",",0")</f>
        <v>615244,56|1,0,0</v>
      </c>
      <c r="B56" t="str">
        <f>CONCATENATE(614654,",",ROW(BCTCR_06608!B56),"|",COLUMN(BCTCR_06608!B56),",0",",0")</f>
        <v>614654,56|2,0,0</v>
      </c>
      <c r="C56" t="str">
        <f>CONCATENATE(614803,",",ROW(BCTCR_06608!C56),"|",COLUMN(BCTCR_06608!C56),",0",",0")</f>
        <v>614803,56|3,0,0</v>
      </c>
      <c r="D56" t="str">
        <f>CONCATENATE(615067,",",ROW(BCTCR_06608!D56),"|",COLUMN(BCTCR_06608!D56),",0",",0")</f>
        <v>615067,56|4,0,0</v>
      </c>
      <c r="E56" t="str">
        <f>CONCATENATE(614646,",",ROW(BCTCR_06608!E56),"|",COLUMN(BCTCR_06608!E56),",0",",0")</f>
        <v>614646,56|5,0,0</v>
      </c>
    </row>
    <row r="57" spans="1:5" x14ac:dyDescent="0.25">
      <c r="A57" t="str">
        <f>CONCATENATE(615245,",",ROW(BCTCR_06608!A57),"|",COLUMN(BCTCR_06608!A57),",0",",0")</f>
        <v>615245,57|1,0,0</v>
      </c>
      <c r="B57" t="str">
        <f>CONCATENATE(614690,",",ROW(BCTCR_06608!B57),"|",COLUMN(BCTCR_06608!B57),",0",",0")</f>
        <v>614690,57|2,0,0</v>
      </c>
      <c r="C57" t="str">
        <f>CONCATENATE(614804,",",ROW(BCTCR_06608!C57),"|",COLUMN(BCTCR_06608!C57),",0",",0")</f>
        <v>614804,57|3,0,0</v>
      </c>
      <c r="D57" t="str">
        <f>CONCATENATE(615068,",",ROW(BCTCR_06608!D57),"|",COLUMN(BCTCR_06608!D57),",0",",0")</f>
        <v>615068,57|4,0,0</v>
      </c>
      <c r="E57" t="str">
        <f>CONCATENATE(614647,",",ROW(BCTCR_06608!E57),"|",COLUMN(BCTCR_06608!E57),",0",",0")</f>
        <v>614647,57|5,0,0</v>
      </c>
    </row>
    <row r="58" spans="1:5" x14ac:dyDescent="0.25">
      <c r="A58" t="str">
        <f>CONCATENATE(614674,",",ROW(BCTCR_06608!A58),"|",COLUMN(BCTCR_06608!A58),",0",",0")</f>
        <v>614674,58|1,0,0</v>
      </c>
      <c r="B58" t="str">
        <f>CONCATENATE(615017,",",ROW(BCTCR_06608!B58),"|",COLUMN(BCTCR_06608!B58),",0",",0")</f>
        <v>615017,58|2,0,0</v>
      </c>
      <c r="C58" t="str">
        <f>CONCATENATE(614822,",",ROW(BCTCR_06608!C58),"|",COLUMN(BCTCR_06608!C58),",0",",0")</f>
        <v>614822,58|3,0,0</v>
      </c>
      <c r="D58" t="str">
        <f>CONCATENATE(615115,",",ROW(BCTCR_06608!D58),"|",COLUMN(BCTCR_06608!D58),",0",",0")</f>
        <v>615115,58|4,0,0</v>
      </c>
      <c r="E58" t="str">
        <f>CONCATENATE(615203,",",ROW(BCTCR_06608!E58),"|",COLUMN(BCTCR_06608!E58),",0",",0")</f>
        <v>615203,58|5,0,0</v>
      </c>
    </row>
    <row r="59" spans="1:5" x14ac:dyDescent="0.25">
      <c r="A59" t="str">
        <f>CONCATENATE(614886,",",ROW(BCTCR_06608!A59),"|",COLUMN(BCTCR_06608!A59),",0",",0")</f>
        <v>614886,59|1,0,0</v>
      </c>
      <c r="B59" t="str">
        <f>CONCATENATE(614724,",",ROW(BCTCR_06608!B59),"|",COLUMN(BCTCR_06608!B59),",0",",0")</f>
        <v>614724,59|2,0,0</v>
      </c>
      <c r="C59" t="str">
        <f>CONCATENATE(614823,",",ROW(BCTCR_06608!C59),"|",COLUMN(BCTCR_06608!C59),",0",",0")</f>
        <v>614823,59|3,0,0</v>
      </c>
      <c r="D59" t="str">
        <f>CONCATENATE(615116,",",ROW(BCTCR_06608!D59),"|",COLUMN(BCTCR_06608!D59),",0",",0")</f>
        <v>615116,59|4,0,0</v>
      </c>
      <c r="E59" t="str">
        <f>CONCATENATE(615204,",",ROW(BCTCR_06608!E59),"|",COLUMN(BCTCR_06608!E59),",0",",0")</f>
        <v>615204,59|5,0,0</v>
      </c>
    </row>
    <row r="60" spans="1:5" x14ac:dyDescent="0.25">
      <c r="A60" t="str">
        <f>CONCATENATE(614925,",",ROW(BCTCR_06608!A60),"|",COLUMN(BCTCR_06608!A60),",0",",0")</f>
        <v>614925,60|1,0,0</v>
      </c>
      <c r="B60" t="str">
        <f>CONCATENATE(614725,",",ROW(BCTCR_06608!B60),"|",COLUMN(BCTCR_06608!B60),",0",",0")</f>
        <v>614725,60|2,0,0</v>
      </c>
      <c r="C60" t="str">
        <f>CONCATENATE(615290,",",ROW(BCTCR_06608!C60),"|",COLUMN(BCTCR_06608!C60),",0",",0")</f>
        <v>615290,60|3,0,0</v>
      </c>
      <c r="D60" t="str">
        <f>CONCATENATE(614954,",",ROW(BCTCR_06608!D60),"|",COLUMN(BCTCR_06608!D60),",0",",0")</f>
        <v>614954,60|4,0,0</v>
      </c>
      <c r="E60" t="str">
        <f>CONCATENATE(615176,",",ROW(BCTCR_06608!E60),"|",COLUMN(BCTCR_06608!E60),",0",",0")</f>
        <v>615176,60|5,0,0</v>
      </c>
    </row>
    <row r="61" spans="1:5" x14ac:dyDescent="0.25">
      <c r="A61" t="str">
        <f>CONCATENATE(615246,",",ROW(BCTCR_06608!A61),"|",COLUMN(BCTCR_06608!A61),",0",",0")</f>
        <v>615246,61|1,0,0</v>
      </c>
      <c r="B61" t="str">
        <f>CONCATENATE(615018,",",ROW(BCTCR_06608!B61),"|",COLUMN(BCTCR_06608!B61),",0",",0")</f>
        <v>615018,61|2,0,0</v>
      </c>
      <c r="C61" t="str">
        <f>CONCATENATE(614805,",",ROW(BCTCR_06608!C61),"|",COLUMN(BCTCR_06608!C61),",0",",0")</f>
        <v>614805,61|3,0,0</v>
      </c>
      <c r="D61" t="str">
        <f>CONCATENATE(615069,",",ROW(BCTCR_06608!D61),"|",COLUMN(BCTCR_06608!D61),",0",",0")</f>
        <v>615069,61|4,0,0</v>
      </c>
      <c r="E61" t="str">
        <f>CONCATENATE(614648,",",ROW(BCTCR_06608!E61),"|",COLUMN(BCTCR_06608!E61),",0",",0")</f>
        <v>614648,61|5,0,0</v>
      </c>
    </row>
    <row r="62" spans="1:5" x14ac:dyDescent="0.25">
      <c r="A62" t="str">
        <f>CONCATENATE(615220,",",ROW(BCTCR_06608!A62),"|",COLUMN(BCTCR_06608!A62),",0",",0")</f>
        <v>615220,62|1,0,0</v>
      </c>
      <c r="B62" t="str">
        <f>CONCATENATE(614726,",",ROW(BCTCR_06608!B62),"|",COLUMN(BCTCR_06608!B62),",0",",0")</f>
        <v>614726,62|2,0,0</v>
      </c>
      <c r="C62" t="str">
        <f>CONCATENATE(614824,",",ROW(BCTCR_06608!C62),"|",COLUMN(BCTCR_06608!C62),",0",",0")</f>
        <v>614824,62|3,0,0</v>
      </c>
      <c r="D62" t="str">
        <f>CONCATENATE(615117,",",ROW(BCTCR_06608!D62),"|",COLUMN(BCTCR_06608!D62),",0",",0")</f>
        <v>615117,62|4,0,0</v>
      </c>
      <c r="E62" t="str">
        <f>CONCATENATE(615205,",",ROW(BCTCR_06608!E62),"|",COLUMN(BCTCR_06608!E62),",0",",0")</f>
        <v>615205,62|5,0,0</v>
      </c>
    </row>
    <row r="63" spans="1:5" x14ac:dyDescent="0.25">
      <c r="A63" t="str">
        <f>CONCATENATE(614926,",",ROW(BCTCR_06608!A63),"|",COLUMN(BCTCR_06608!A63),",0",",0")</f>
        <v>614926,63|1,0,0</v>
      </c>
      <c r="B63" t="str">
        <f>CONCATENATE(615019,",",ROW(BCTCR_06608!B63),"|",COLUMN(BCTCR_06608!B63),",0",",0")</f>
        <v>615019,63|2,0,0</v>
      </c>
      <c r="C63" t="str">
        <f>CONCATENATE(615291,",",ROW(BCTCR_06608!C63),"|",COLUMN(BCTCR_06608!C63),",0",",0")</f>
        <v>615291,63|3,0,0</v>
      </c>
      <c r="D63" t="str">
        <f>CONCATENATE(614955,",",ROW(BCTCR_06608!D63),"|",COLUMN(BCTCR_06608!D63),",0",",0")</f>
        <v>614955,63|4,0,0</v>
      </c>
      <c r="E63" t="str">
        <f>CONCATENATE(615177,",",ROW(BCTCR_06608!E63),"|",COLUMN(BCTCR_06608!E63),",0",",0")</f>
        <v>615177,63|5,0,0</v>
      </c>
    </row>
    <row r="64" spans="1:5" x14ac:dyDescent="0.25">
      <c r="A64" t="str">
        <f>CONCATENATE(615247,",",ROW(BCTCR_06608!A64),"|",COLUMN(BCTCR_06608!A64),",0",",0")</f>
        <v>615247,64|1,0,0</v>
      </c>
      <c r="B64" t="str">
        <f>CONCATENATE(615142,",",ROW(BCTCR_06608!B64),"|",COLUMN(BCTCR_06608!B64),",0",",0")</f>
        <v>615142,64|2,0,0</v>
      </c>
      <c r="C64" t="str">
        <f>CONCATENATE(614806,",",ROW(BCTCR_06608!C64),"|",COLUMN(BCTCR_06608!C64),",0",",0")</f>
        <v>614806,64|3,0,0</v>
      </c>
      <c r="D64" t="str">
        <f>CONCATENATE(615070,",",ROW(BCTCR_06608!D64),"|",COLUMN(BCTCR_06608!D64),",0",",0")</f>
        <v>615070,64|4,0,0</v>
      </c>
      <c r="E64" t="str">
        <f>CONCATENATE(614649,",",ROW(BCTCR_06608!E64),"|",COLUMN(BCTCR_06608!E64),",0",",0")</f>
        <v>614649,64|5,0,0</v>
      </c>
    </row>
    <row r="65" spans="1:5" x14ac:dyDescent="0.25">
      <c r="A65" t="str">
        <f>CONCATENATE(614927,",",ROW(BCTCR_06608!A65),"|",COLUMN(BCTCR_06608!A65),",0",",0")</f>
        <v>614927,65|1,0,0</v>
      </c>
      <c r="B65" t="str">
        <f>CONCATENATE(614655,",",ROW(BCTCR_06608!B65),"|",COLUMN(BCTCR_06608!B65),",0",",0")</f>
        <v>614655,65|2,0,0</v>
      </c>
      <c r="C65" t="str">
        <f>CONCATENATE(615292,",",ROW(BCTCR_06608!C65),"|",COLUMN(BCTCR_06608!C65),",0",",0")</f>
        <v>615292,65|3,0,0</v>
      </c>
      <c r="D65" t="str">
        <f>CONCATENATE(614956,",",ROW(BCTCR_06608!D65),"|",COLUMN(BCTCR_06608!D65),",0",",0")</f>
        <v>614956,65|4,0,0</v>
      </c>
      <c r="E65" t="str">
        <f>CONCATENATE(615178,",",ROW(BCTCR_06608!E65),"|",COLUMN(BCTCR_06608!E65),",0",",0")</f>
        <v>615178,65|5,0,0</v>
      </c>
    </row>
    <row r="66" spans="1:5" x14ac:dyDescent="0.25">
      <c r="A66" t="str">
        <f>CONCATENATE(614862,",",ROW(BCTCR_06608!A66),"|",COLUMN(BCTCR_06608!A66),",0",",0")</f>
        <v>614862,66|1,0,0</v>
      </c>
      <c r="B66" t="str">
        <f>CONCATENATE(614727,",",ROW(BCTCR_06608!B66),"|",COLUMN(BCTCR_06608!B66),",0",",0")</f>
        <v>614727,66|2,0,0</v>
      </c>
      <c r="C66" t="str">
        <f>CONCATENATE(614807,",",ROW(BCTCR_06608!C66),"|",COLUMN(BCTCR_06608!C66),",0",",0")</f>
        <v>614807,66|3,0,0</v>
      </c>
      <c r="D66" t="str">
        <f>CONCATENATE(615071,",",ROW(BCTCR_06608!D66),"|",COLUMN(BCTCR_06608!D66),",0",",0")</f>
        <v>615071,66|4,0,0</v>
      </c>
      <c r="E66" t="str">
        <f>CONCATENATE(614650,",",ROW(BCTCR_06608!E66),"|",COLUMN(BCTCR_06608!E66),",0",",0")</f>
        <v>614650,66|5,0,0</v>
      </c>
    </row>
    <row r="67" spans="1:5" x14ac:dyDescent="0.25">
      <c r="A67" t="str">
        <f>CONCATENATE(615226,",",ROW(BCTCR_06608!A67),"|",COLUMN(BCTCR_06608!A67),",0",",0")</f>
        <v>615226,67|1,0,0</v>
      </c>
      <c r="B67" t="str">
        <f>CONCATENATE(615020,",",ROW(BCTCR_06608!B67),"|",COLUMN(BCTCR_06608!B67),",0",",0")</f>
        <v>615020,67|2,0,0</v>
      </c>
      <c r="C67" t="str">
        <f>CONCATENATE(614825,",",ROW(BCTCR_06608!C67),"|",COLUMN(BCTCR_06608!C67),",0",",0")</f>
        <v>614825,67|3,0,0</v>
      </c>
      <c r="D67" t="str">
        <f>CONCATENATE(615118,",",ROW(BCTCR_06608!D67),"|",COLUMN(BCTCR_06608!D67),",0",",0")</f>
        <v>615118,67|4,0,0</v>
      </c>
      <c r="E67" t="str">
        <f>CONCATENATE(615206,",",ROW(BCTCR_06608!E67),"|",COLUMN(BCTCR_06608!E67),",0",",0")</f>
        <v>615206,67|5,0,0</v>
      </c>
    </row>
    <row r="68" spans="1:5" x14ac:dyDescent="0.25">
      <c r="A68" t="str">
        <f>CONCATENATE(614896,",",ROW(BCTCR_06608!A68),"|",COLUMN(BCTCR_06608!A68),",0",",0")</f>
        <v>614896,68|1,0,0</v>
      </c>
      <c r="B68" t="str">
        <f>CONCATENATE(614728,",",ROW(BCTCR_06608!B68),"|",COLUMN(BCTCR_06608!B68),",0",",0")</f>
        <v>614728,68|2,0,0</v>
      </c>
      <c r="C68" t="str">
        <f>CONCATENATE(614826,",",ROW(BCTCR_06608!C68),"|",COLUMN(BCTCR_06608!C68),",0",",0")</f>
        <v>614826,68|3,0,0</v>
      </c>
      <c r="D68" t="str">
        <f>CONCATENATE(615119,",",ROW(BCTCR_06608!D68),"|",COLUMN(BCTCR_06608!D68),",0",",0")</f>
        <v>615119,68|4,0,0</v>
      </c>
      <c r="E68" t="str">
        <f>CONCATENATE(615207,",",ROW(BCTCR_06608!E68),"|",COLUMN(BCTCR_06608!E68),",0",",0")</f>
        <v>615207,68|5,0,0</v>
      </c>
    </row>
    <row r="69" spans="1:5" x14ac:dyDescent="0.25">
      <c r="A69" t="str">
        <f>CONCATENATE(615227,",",ROW(BCTCR_06608!A69),"|",COLUMN(BCTCR_06608!A69),",0",",0")</f>
        <v>615227,69|1,0,0</v>
      </c>
      <c r="B69" t="str">
        <f>CONCATENATE(614729,",",ROW(BCTCR_06608!B69),"|",COLUMN(BCTCR_06608!B69),",0",",0")</f>
        <v>614729,69|2,0,0</v>
      </c>
      <c r="C69" t="str">
        <f>CONCATENATE(614827,",",ROW(BCTCR_06608!C69),"|",COLUMN(BCTCR_06608!C69),",0",",0")</f>
        <v>614827,69|3,0,0</v>
      </c>
      <c r="D69" t="str">
        <f>CONCATENATE(615120,",",ROW(BCTCR_06608!D69),"|",COLUMN(BCTCR_06608!D69),",0",",0")</f>
        <v>615120,69|4,0,0</v>
      </c>
      <c r="E69" t="str">
        <f>CONCATENATE(615208,",",ROW(BCTCR_06608!E69),"|",COLUMN(BCTCR_06608!E69),",0",",0")</f>
        <v>615208,69|5,0,0</v>
      </c>
    </row>
    <row r="70" spans="1:5" x14ac:dyDescent="0.25">
      <c r="A70" t="str">
        <f>CONCATENATE(614887,",",ROW(BCTCR_06608!A70),"|",COLUMN(BCTCR_06608!A70),",0",",0")</f>
        <v>614887,70|1,0,0</v>
      </c>
      <c r="B70" t="str">
        <f>CONCATENATE(614656,",",ROW(BCTCR_06608!B70),"|",COLUMN(BCTCR_06608!B70),",0",",0")</f>
        <v>614656,70|2,0,0</v>
      </c>
      <c r="C70" t="str">
        <f>CONCATENATE(614828,",",ROW(BCTCR_06608!C70),"|",COLUMN(BCTCR_06608!C70),",0",",0")</f>
        <v>614828,70|3,0,0</v>
      </c>
      <c r="D70" t="str">
        <f>CONCATENATE(615121,",",ROW(BCTCR_06608!D70),"|",COLUMN(BCTCR_06608!D70),",0",",0")</f>
        <v>615121,70|4,0,0</v>
      </c>
      <c r="E70" t="str">
        <f>CONCATENATE(615209,",",ROW(BCTCR_06608!E70),"|",COLUMN(BCTCR_06608!E70),",0",",0")</f>
        <v>615209,70|5,0,0</v>
      </c>
    </row>
    <row r="71" spans="1:5" x14ac:dyDescent="0.25">
      <c r="A71" t="str">
        <f>CONCATENATE(614928,",",ROW(BCTCR_06608!A71),"|",COLUMN(BCTCR_06608!A71),",0",",0")</f>
        <v>614928,71|1,0,0</v>
      </c>
      <c r="B71" t="str">
        <f>CONCATENATE(614730,",",ROW(BCTCR_06608!B71),"|",COLUMN(BCTCR_06608!B71),",0",",0")</f>
        <v>614730,71|2,0,0</v>
      </c>
      <c r="C71" t="str">
        <f>CONCATENATE(615293,",",ROW(BCTCR_06608!C71),"|",COLUMN(BCTCR_06608!C71),",0",",0")</f>
        <v>615293,71|3,0,0</v>
      </c>
      <c r="D71" t="str">
        <f>CONCATENATE(614957,",",ROW(BCTCR_06608!D71),"|",COLUMN(BCTCR_06608!D71),",0",",0")</f>
        <v>614957,71|4,0,0</v>
      </c>
      <c r="E71" t="str">
        <f>CONCATENATE(615179,",",ROW(BCTCR_06608!E71),"|",COLUMN(BCTCR_06608!E71),",0",",0")</f>
        <v>615179,71|5,0,0</v>
      </c>
    </row>
    <row r="72" spans="1:5" x14ac:dyDescent="0.25">
      <c r="A72" t="str">
        <f>CONCATENATE(615152,",",ROW(BCTCR_06608!A72),"|",COLUMN(BCTCR_06608!A72),",0",",0")</f>
        <v>615152,72|1,0,0</v>
      </c>
      <c r="B72" t="str">
        <f>CONCATENATE(614919,",",ROW(BCTCR_06608!B72),"|",COLUMN(BCTCR_06608!B72),",0",",0")</f>
        <v>614919,72|2,0,0</v>
      </c>
      <c r="C72" t="str">
        <f>CONCATENATE(615222,",",ROW(BCTCR_06608!C72),"|",COLUMN(BCTCR_06608!C72),",0",",0")</f>
        <v>615222,72|3,0,0</v>
      </c>
      <c r="D72" t="str">
        <f>CONCATENATE(614920,",",ROW(BCTCR_06608!D72),"|",COLUMN(BCTCR_06608!D72),",0",",0")</f>
        <v>614920,72|4,0,0</v>
      </c>
      <c r="E72" t="str">
        <f>CONCATENATE(614921,",",ROW(BCTCR_06608!E72),"|",COLUMN(BCTCR_06608!E72),",0",",0")</f>
        <v>614921,72|5,0,0</v>
      </c>
    </row>
    <row r="73" spans="1:5" x14ac:dyDescent="0.25">
      <c r="A73" t="str">
        <f>CONCATENATE(615228,",",ROW(BCTCR_06608!A73),"|",COLUMN(BCTCR_06608!A73),",0",",0")</f>
        <v>615228,73|1,0,0</v>
      </c>
      <c r="B73" t="str">
        <f>CONCATENATE(615021,",",ROW(BCTCR_06608!B73),"|",COLUMN(BCTCR_06608!B73),",0",",0")</f>
        <v>615021,73|2,0,0</v>
      </c>
      <c r="C73" t="str">
        <f>CONCATENATE(614829,",",ROW(BCTCR_06608!C73),"|",COLUMN(BCTCR_06608!C73),",0",",0")</f>
        <v>614829,73|3,0,0</v>
      </c>
      <c r="D73" t="str">
        <f>CONCATENATE(615122,",",ROW(BCTCR_06608!D73),"|",COLUMN(BCTCR_06608!D73),",0",",0")</f>
        <v>615122,73|4,0,0</v>
      </c>
      <c r="E73" t="str">
        <f>CONCATENATE(614780,",",ROW(BCTCR_06608!E73),"|",COLUMN(BCTCR_06608!E73),",0",",0")</f>
        <v>614780,73|5,0,0</v>
      </c>
    </row>
    <row r="74" spans="1:5" x14ac:dyDescent="0.25">
      <c r="A74" t="str">
        <f>CONCATENATE(615229,",",ROW(BCTCR_06608!A74),"|",COLUMN(BCTCR_06608!A74),",0",",0")</f>
        <v>615229,74|1,0,0</v>
      </c>
      <c r="B74" t="str">
        <f>CONCATENATE(615022,",",ROW(BCTCR_06608!B74),"|",COLUMN(BCTCR_06608!B74),",0",",0")</f>
        <v>615022,74|2,0,0</v>
      </c>
      <c r="C74" t="str">
        <f>CONCATENATE(614830,",",ROW(BCTCR_06608!C74),"|",COLUMN(BCTCR_06608!C74),",0",",0")</f>
        <v>614830,74|3,0,0</v>
      </c>
      <c r="D74" t="str">
        <f>CONCATENATE(615123,",",ROW(BCTCR_06608!D74),"|",COLUMN(BCTCR_06608!D74),",0",",0")</f>
        <v>615123,74|4,0,0</v>
      </c>
      <c r="E74" t="str">
        <f>CONCATENATE(614781,",",ROW(BCTCR_06608!E74),"|",COLUMN(BCTCR_06608!E74),",0",",0")</f>
        <v>614781,74|5,0,0</v>
      </c>
    </row>
    <row r="75" spans="1:5" x14ac:dyDescent="0.25">
      <c r="A75" t="str">
        <f>CONCATENATE(614897,",",ROW(BCTCR_06608!A75),"|",COLUMN(BCTCR_06608!A75),",0",",0")</f>
        <v>614897,75|1,0,0</v>
      </c>
      <c r="B75" t="str">
        <f>CONCATENATE(614731,",",ROW(BCTCR_06608!B75),"|",COLUMN(BCTCR_06608!B75),",0",",0")</f>
        <v>614731,75|2,0,0</v>
      </c>
      <c r="C75" t="str">
        <f>CONCATENATE(614831,",",ROW(BCTCR_06608!C75),"|",COLUMN(BCTCR_06608!C75),",0",",0")</f>
        <v>614831,75|3,0,0</v>
      </c>
      <c r="D75" t="str">
        <f>CONCATENATE(615155,",",ROW(BCTCR_06608!D75),"|",COLUMN(BCTCR_06608!D75),",0",",0")</f>
        <v>615155,75|4,0,0</v>
      </c>
      <c r="E75" t="str">
        <f>CONCATENATE(614782,",",ROW(BCTCR_06608!E75),"|",COLUMN(BCTCR_06608!E75),",0",",0")</f>
        <v>614782,75|5,0,0</v>
      </c>
    </row>
    <row r="76" spans="1:5" x14ac:dyDescent="0.25">
      <c r="A76" t="str">
        <f>CONCATENATE(614929,",",ROW(BCTCR_06608!A76),"|",COLUMN(BCTCR_06608!A76),",0",",0")</f>
        <v>614929,76|1,0,0</v>
      </c>
      <c r="B76" t="str">
        <f>CONCATENATE(615023,",",ROW(BCTCR_06608!B76),"|",COLUMN(BCTCR_06608!B76),",0",",0")</f>
        <v>615023,76|2,0,0</v>
      </c>
      <c r="C76" t="str">
        <f>CONCATENATE(615294,",",ROW(BCTCR_06608!C76),"|",COLUMN(BCTCR_06608!C76),",0",",0")</f>
        <v>615294,76|3,0,0</v>
      </c>
      <c r="D76" t="str">
        <f>CONCATENATE(615049,",",ROW(BCTCR_06608!D76),"|",COLUMN(BCTCR_06608!D76),",0",",0")</f>
        <v>615049,76|4,0,0</v>
      </c>
      <c r="E76" t="str">
        <f>CONCATENATE(615180,",",ROW(BCTCR_06608!E76),"|",COLUMN(BCTCR_06608!E76),",0",",0")</f>
        <v>615180,76|5,0,0</v>
      </c>
    </row>
    <row r="77" spans="1:5" x14ac:dyDescent="0.25">
      <c r="A77" t="str">
        <f>CONCATENATE(614898,",",ROW(BCTCR_06608!A77),"|",COLUMN(BCTCR_06608!A77),",0",",0")</f>
        <v>614898,77|1,0,0</v>
      </c>
      <c r="B77" t="str">
        <f>CONCATENATE(614732,",",ROW(BCTCR_06608!B77),"|",COLUMN(BCTCR_06608!B77),",0",",0")</f>
        <v>614732,77|2,0,0</v>
      </c>
      <c r="C77" t="str">
        <f>CONCATENATE(614832,",",ROW(BCTCR_06608!C77),"|",COLUMN(BCTCR_06608!C77),",0",",0")</f>
        <v>614832,77|3,0,0</v>
      </c>
      <c r="D77" t="str">
        <f>CONCATENATE(615156,",",ROW(BCTCR_06608!D77),"|",COLUMN(BCTCR_06608!D77),",0",",0")</f>
        <v>615156,77|4,0,0</v>
      </c>
      <c r="E77" t="str">
        <f>CONCATENATE(614783,",",ROW(BCTCR_06608!E77),"|",COLUMN(BCTCR_06608!E77),",0",",0")</f>
        <v>614783,77|5,0,0</v>
      </c>
    </row>
    <row r="78" spans="1:5" x14ac:dyDescent="0.25">
      <c r="A78" t="str">
        <f>CONCATENATE(614891,",",ROW(BCTCR_06608!A78),"|",COLUMN(BCTCR_06608!A78),",0",",0")</f>
        <v>614891,78|1,0,0</v>
      </c>
      <c r="B78" t="str">
        <f>CONCATENATE(615024,",",ROW(BCTCR_06608!B78),"|",COLUMN(BCTCR_06608!B78),",0",",0")</f>
        <v>615024,78|2,0,0</v>
      </c>
      <c r="C78" t="str">
        <f>CONCATENATE(614833,",",ROW(BCTCR_06608!C78),"|",COLUMN(BCTCR_06608!C78),",0",",0")</f>
        <v>614833,78|3,0,0</v>
      </c>
      <c r="D78" t="str">
        <f>CONCATENATE(615157,",",ROW(BCTCR_06608!D78),"|",COLUMN(BCTCR_06608!D78),",0",",0")</f>
        <v>615157,78|4,0,0</v>
      </c>
      <c r="E78" t="str">
        <f>CONCATENATE(614784,",",ROW(BCTCR_06608!E78),"|",COLUMN(BCTCR_06608!E78),",0",",0")</f>
        <v>614784,78|5,0,0</v>
      </c>
    </row>
    <row r="79" spans="1:5" x14ac:dyDescent="0.25">
      <c r="A79" t="str">
        <f>CONCATENATE(614711,",",ROW(BCTCR_06608!A79),"|",COLUMN(BCTCR_06608!A79),",0",",0")</f>
        <v>614711,79|1,0,0</v>
      </c>
      <c r="B79" t="str">
        <f>CONCATENATE(615025,",",ROW(BCTCR_06608!B79),"|",COLUMN(BCTCR_06608!B79),",0",",0")</f>
        <v>615025,79|2,0,0</v>
      </c>
      <c r="C79" t="str">
        <f>CONCATENATE(614834,",",ROW(BCTCR_06608!C79),"|",COLUMN(BCTCR_06608!C79),",0",",0")</f>
        <v>614834,79|3,0,0</v>
      </c>
      <c r="D79" t="str">
        <f>CONCATENATE(615158,",",ROW(BCTCR_06608!D79),"|",COLUMN(BCTCR_06608!D79),",0",",0")</f>
        <v>615158,79|4,0,0</v>
      </c>
      <c r="E79" t="str">
        <f>CONCATENATE(614785,",",ROW(BCTCR_06608!E79),"|",COLUMN(BCTCR_06608!E79),",0",",0")</f>
        <v>614785,79|5,0,0</v>
      </c>
    </row>
    <row r="80" spans="1:5" x14ac:dyDescent="0.25">
      <c r="A80" t="str">
        <f>CONCATENATE(614738,",",ROW(BCTCR_06608!A80),"|",COLUMN(BCTCR_06608!A80),",0",",0")</f>
        <v>614738,80|1,0,0</v>
      </c>
      <c r="B80" t="str">
        <f>CONCATENATE(614869,",",ROW(BCTCR_06608!B80),"|",COLUMN(BCTCR_06608!B80),",0",",0")</f>
        <v>614869,80|2,0,0</v>
      </c>
      <c r="C80" t="str">
        <f>CONCATENATE(615307,",",ROW(BCTCR_06608!C80),"|",COLUMN(BCTCR_06608!C80),",0",",0")</f>
        <v>615307,80|3,0,0</v>
      </c>
      <c r="D80" t="str">
        <f>CONCATENATE(615048,",",ROW(BCTCR_06608!D80),"|",COLUMN(BCTCR_06608!D80),",0",",0")</f>
        <v>615048,80|4,0,0</v>
      </c>
      <c r="E80" t="str">
        <f>CONCATENATE(615168,",",ROW(BCTCR_06608!E80),"|",COLUMN(BCTCR_06608!E80),",0",",0")</f>
        <v>615168,80|5,0,0</v>
      </c>
    </row>
    <row r="81" spans="1:5" x14ac:dyDescent="0.25">
      <c r="A81" t="str">
        <f>CONCATENATE(614739,",",ROW(BCTCR_06608!A81),"|",COLUMN(BCTCR_06608!A81),",0",",0")</f>
        <v>614739,81|1,0,0</v>
      </c>
      <c r="B81" t="str">
        <f>CONCATENATE(615026,",",ROW(BCTCR_06608!B81),"|",COLUMN(BCTCR_06608!B81),",0",",0")</f>
        <v>615026,81|2,0,0</v>
      </c>
      <c r="C81" t="str">
        <f>CONCATENATE(615282,",",ROW(BCTCR_06608!C81),"|",COLUMN(BCTCR_06608!C81),",0",",0")</f>
        <v>615282,81|3,0,0</v>
      </c>
      <c r="D81" t="str">
        <f>CONCATENATE(614659,",",ROW(BCTCR_06608!D81),"|",COLUMN(BCTCR_06608!D81),",0",",0")</f>
        <v>614659,81|4,0,0</v>
      </c>
      <c r="E81" t="str">
        <f>CONCATENATE(615169,",",ROW(BCTCR_06608!E81),"|",COLUMN(BCTCR_06608!E81),",0",",0")</f>
        <v>615169,81|5,0,0</v>
      </c>
    </row>
    <row r="82" spans="1:5" x14ac:dyDescent="0.25">
      <c r="A82" t="str">
        <f>CONCATENATE(614740,",",ROW(BCTCR_06608!A82),"|",COLUMN(BCTCR_06608!A82),",0",",0")</f>
        <v>614740,82|1,0,0</v>
      </c>
      <c r="B82" t="str">
        <f>CONCATENATE(614870,",",ROW(BCTCR_06608!B82),"|",COLUMN(BCTCR_06608!B82),",0",",0")</f>
        <v>614870,82|2,0,0</v>
      </c>
      <c r="C82" t="str">
        <f>CONCATENATE(615283,",",ROW(BCTCR_06608!C82),"|",COLUMN(BCTCR_06608!C82),",0",",0")</f>
        <v>615283,82|3,0,0</v>
      </c>
      <c r="D82" t="str">
        <f>CONCATENATE(614660,",",ROW(BCTCR_06608!D82),"|",COLUMN(BCTCR_06608!D82),",0",",0")</f>
        <v>614660,82|4,0,0</v>
      </c>
      <c r="E82" t="str">
        <f>CONCATENATE(615170,",",ROW(BCTCR_06608!E82),"|",COLUMN(BCTCR_06608!E82),",0",",0")</f>
        <v>615170,82|5,0,0</v>
      </c>
    </row>
    <row r="83" spans="1:5" x14ac:dyDescent="0.25">
      <c r="A83" t="str">
        <f>CONCATENATE(614741,",",ROW(BCTCR_06608!A83),"|",COLUMN(BCTCR_06608!A83),",0",",0")</f>
        <v>614741,83|1,0,0</v>
      </c>
      <c r="B83" t="str">
        <f>CONCATENATE(614733,",",ROW(BCTCR_06608!B83),"|",COLUMN(BCTCR_06608!B83),",0",",0")</f>
        <v>614733,83|2,0,0</v>
      </c>
      <c r="C83" t="str">
        <f>CONCATENATE(614835,",",ROW(BCTCR_06608!C83),"|",COLUMN(BCTCR_06608!C83),",0",",0")</f>
        <v>614835,83|3,0,0</v>
      </c>
      <c r="D83" t="str">
        <f>CONCATENATE(615159,",",ROW(BCTCR_06608!D83),"|",COLUMN(BCTCR_06608!D83),",0",",0")</f>
        <v>615159,83|4,0,0</v>
      </c>
      <c r="E83" t="str">
        <f>CONCATENATE(614908,",",ROW(BCTCR_06608!E83),"|",COLUMN(BCTCR_06608!E83),",0",",0")</f>
        <v>614908,83|5,0,0</v>
      </c>
    </row>
    <row r="84" spans="1:5" x14ac:dyDescent="0.25">
      <c r="A84" t="str">
        <f>CONCATENATE(614905,",",ROW(BCTCR_06608!A84),"|",COLUMN(BCTCR_06608!A84),",0",",0")</f>
        <v>614905,84|1,0,0</v>
      </c>
      <c r="B84" t="str">
        <f>CONCATENATE(614734,",",ROW(BCTCR_06608!B84),"|",COLUMN(BCTCR_06608!B84),",0",",0")</f>
        <v>614734,84|2,0,0</v>
      </c>
      <c r="C84" t="str">
        <f>CONCATENATE(614836,",",ROW(BCTCR_06608!C84),"|",COLUMN(BCTCR_06608!C84),",0",",0")</f>
        <v>614836,84|3,0,0</v>
      </c>
      <c r="D84" t="str">
        <f>CONCATENATE(615160,",",ROW(BCTCR_06608!D84),"|",COLUMN(BCTCR_06608!D84),",0",",0")</f>
        <v>615160,84|4,0,0</v>
      </c>
      <c r="E84" t="str">
        <f>CONCATENATE(614909,",",ROW(BCTCR_06608!E84),"|",COLUMN(BCTCR_06608!E84),",0",",0")</f>
        <v>614909,84|5,0,0</v>
      </c>
    </row>
    <row r="85" spans="1:5" x14ac:dyDescent="0.25">
      <c r="A85" t="str">
        <f>CONCATENATE(614906,",",ROW(BCTCR_06608!A85),"|",COLUMN(BCTCR_06608!A85),",0",",0")</f>
        <v>614906,85|1,0,0</v>
      </c>
      <c r="B85" t="str">
        <f>CONCATENATE(614735,",",ROW(BCTCR_06608!B85),"|",COLUMN(BCTCR_06608!B85),",0",",0")</f>
        <v>614735,85|2,0,0</v>
      </c>
      <c r="C85" t="str">
        <f>CONCATENATE(614837,",",ROW(BCTCR_06608!C85),"|",COLUMN(BCTCR_06608!C85),",0",",0")</f>
        <v>614837,85|3,0,0</v>
      </c>
      <c r="D85" t="str">
        <f>CONCATENATE(615161,",",ROW(BCTCR_06608!D85),"|",COLUMN(BCTCR_06608!D85),",0",",0")</f>
        <v>615161,85|4,0,0</v>
      </c>
      <c r="E85" t="str">
        <f>CONCATENATE(614910,",",ROW(BCTCR_06608!E85),"|",COLUMN(BCTCR_06608!E85),",0",",0")</f>
        <v>614910,85|5,0,0</v>
      </c>
    </row>
    <row r="86" spans="1:5" x14ac:dyDescent="0.25">
      <c r="A86" t="str">
        <f>CONCATENATE(614960,",",ROW(BCTCR_06608!A86),"|",COLUMN(BCTCR_06608!A86),",0",",0")</f>
        <v>614960,86|1,0,0</v>
      </c>
      <c r="B86" t="str">
        <f>CONCATENATE(615027,",",ROW(BCTCR_06608!B86),"|",COLUMN(BCTCR_06608!B86),",0",",0")</f>
        <v>615027,86|2,0,0</v>
      </c>
      <c r="C86" t="str">
        <f>CONCATENATE(614838,",",ROW(BCTCR_06608!C86),"|",COLUMN(BCTCR_06608!C86),",0",",0")</f>
        <v>614838,86|3,0,0</v>
      </c>
      <c r="D86" t="str">
        <f>CONCATENATE(614712,",",ROW(BCTCR_06608!D86),"|",COLUMN(BCTCR_06608!D86),",0",",0")</f>
        <v>614712,86|4,0,0</v>
      </c>
      <c r="E86" t="str">
        <f>CONCATENATE(614911,",",ROW(BCTCR_06608!E86),"|",COLUMN(BCTCR_06608!E86),",0",",0")</f>
        <v>614911,86|5,0,0</v>
      </c>
    </row>
    <row r="87" spans="1:5" x14ac:dyDescent="0.25">
      <c r="A87" t="str">
        <f>CONCATENATE(614958,",",ROW(BCTCR_06608!A87),"|",COLUMN(BCTCR_06608!A87),",0",",0")</f>
        <v>614958,87|1,0,0</v>
      </c>
      <c r="B87" t="str">
        <f>CONCATENATE(614736,",",ROW(BCTCR_06608!B87),"|",COLUMN(BCTCR_06608!B87),",0",",0")</f>
        <v>614736,87|2,0,0</v>
      </c>
      <c r="C87" t="str">
        <f>CONCATENATE(614839,",",ROW(BCTCR_06608!C87),"|",COLUMN(BCTCR_06608!C87),",0",",0")</f>
        <v>614839,87|3,0,0</v>
      </c>
      <c r="D87" t="str">
        <f>CONCATENATE(614713,",",ROW(BCTCR_06608!D87),"|",COLUMN(BCTCR_06608!D87),",0",",0")</f>
        <v>614713,87|4,0,0</v>
      </c>
      <c r="E87" t="str">
        <f>CONCATENATE(614912,",",ROW(BCTCR_06608!E87),"|",COLUMN(BCTCR_06608!E87),",0",",0")</f>
        <v>614912,87|5,0,0</v>
      </c>
    </row>
    <row r="88" spans="1:5" x14ac:dyDescent="0.25">
      <c r="A88" t="str">
        <f>CONCATENATE(614959,",",ROW(BCTCR_06608!A88),"|",COLUMN(BCTCR_06608!A88),",0",",0")</f>
        <v>614959,88|1,0,0</v>
      </c>
      <c r="B88" t="str">
        <f>CONCATENATE(614737,",",ROW(BCTCR_06608!B88),"|",COLUMN(BCTCR_06608!B88),",0",",0")</f>
        <v>614737,88|2,0,0</v>
      </c>
      <c r="C88" t="str">
        <f>CONCATENATE(614840,",",ROW(BCTCR_06608!C88),"|",COLUMN(BCTCR_06608!C88),",0",",0")</f>
        <v>614840,88|3,0,0</v>
      </c>
      <c r="D88" t="str">
        <f>CONCATENATE(614714,",",ROW(BCTCR_06608!D88),"|",COLUMN(BCTCR_06608!D88),",0",",0")</f>
        <v>614714,88|4,0,0</v>
      </c>
      <c r="E88" t="str">
        <f>CONCATENATE(614913,",",ROW(BCTCR_06608!E88),"|",COLUMN(BCTCR_06608!E88),",0",",0")</f>
        <v>614913,88|5,0,0</v>
      </c>
    </row>
    <row r="89" spans="1:5" x14ac:dyDescent="0.25">
      <c r="A89" t="str">
        <f>CONCATENATE(614961,",",ROW(BCTCR_06608!A89),"|",COLUMN(BCTCR_06608!A89),",0",",0")</f>
        <v>614961,89|1,0,0</v>
      </c>
      <c r="B89" t="str">
        <f>CONCATENATE(614742,",",ROW(BCTCR_06608!B89),"|",COLUMN(BCTCR_06608!B89),",0",",0")</f>
        <v>614742,89|2,0,0</v>
      </c>
      <c r="C89" t="str">
        <f>CONCATENATE(614895,",",ROW(BCTCR_06608!C89),"|",COLUMN(BCTCR_06608!C89),",0",",0")</f>
        <v>614895,89|3,0,0</v>
      </c>
      <c r="D89" t="str">
        <f>CONCATENATE(614715,",",ROW(BCTCR_06608!D89),"|",COLUMN(BCTCR_06608!D89),",0",",0")</f>
        <v>614715,89|4,0,0</v>
      </c>
      <c r="E89" t="str">
        <f>CONCATENATE(614914,",",ROW(BCTCR_06608!E89),"|",COLUMN(BCTCR_06608!E89),",0",",0")</f>
        <v>614914,89|5,0,0</v>
      </c>
    </row>
    <row r="90" spans="1:5" x14ac:dyDescent="0.25">
      <c r="A90" t="str">
        <f>CONCATENATE(614962,",",ROW(BCTCR_06608!A90),"|",COLUMN(BCTCR_06608!A90),",0",",0")</f>
        <v>614962,90|1,0,0</v>
      </c>
      <c r="B90" t="str">
        <f>CONCATENATE(614743,",",ROW(BCTCR_06608!B90),"|",COLUMN(BCTCR_06608!B90),",0",",0")</f>
        <v>614743,90|2,0,0</v>
      </c>
      <c r="C90" t="str">
        <f>CONCATENATE(614695,",",ROW(BCTCR_06608!C90),"|",COLUMN(BCTCR_06608!C90),",0",",0")</f>
        <v>614695,90|3,0,0</v>
      </c>
      <c r="D90" t="str">
        <f>CONCATENATE(614716,",",ROW(BCTCR_06608!D90),"|",COLUMN(BCTCR_06608!D90),",0",",0")</f>
        <v>614716,90|4,0,0</v>
      </c>
      <c r="E90" t="str">
        <f>CONCATENATE(614944,",",ROW(BCTCR_06608!E90),"|",COLUMN(BCTCR_06608!E90),",0",",0")</f>
        <v>614944,90|5,0,0</v>
      </c>
    </row>
    <row r="91" spans="1:5" x14ac:dyDescent="0.25">
      <c r="A91" t="str">
        <f>CONCATENATE(614963,",",ROW(BCTCR_06608!A91),"|",COLUMN(BCTCR_06608!A91),",0",",0")</f>
        <v>614963,91|1,0,0</v>
      </c>
      <c r="B91" t="str">
        <f>CONCATENATE(615028,",",ROW(BCTCR_06608!B91),"|",COLUMN(BCTCR_06608!B91),",0",",0")</f>
        <v>615028,91|2,0,0</v>
      </c>
      <c r="C91" t="str">
        <f>CONCATENATE(614696,",",ROW(BCTCR_06608!C91),"|",COLUMN(BCTCR_06608!C91),",0",",0")</f>
        <v>614696,91|3,0,0</v>
      </c>
      <c r="D91" t="str">
        <f>CONCATENATE(614717,",",ROW(BCTCR_06608!D91),"|",COLUMN(BCTCR_06608!D91),",0",",0")</f>
        <v>614717,91|4,0,0</v>
      </c>
      <c r="E91" t="str">
        <f>CONCATENATE(614945,",",ROW(BCTCR_06608!E91),"|",COLUMN(BCTCR_06608!E91),",0",",0")</f>
        <v>614945,91|5,0,0</v>
      </c>
    </row>
    <row r="92" spans="1:5" x14ac:dyDescent="0.25">
      <c r="A92" t="str">
        <f>CONCATENATE(615147,",",ROW(BCTCR_06608!A92),"|",COLUMN(BCTCR_06608!A92),",0",",0")</f>
        <v>615147,92|1,0,0</v>
      </c>
      <c r="B92" t="str">
        <f>CONCATENATE(614744,",",ROW(BCTCR_06608!B92),"|",COLUMN(BCTCR_06608!B92),",0",",0")</f>
        <v>614744,92|2,0,0</v>
      </c>
      <c r="C92" t="str">
        <f>CONCATENATE(614808,",",ROW(BCTCR_06608!C92),"|",COLUMN(BCTCR_06608!C92),",0",",0")</f>
        <v>614808,92|3,0,0</v>
      </c>
      <c r="D92" t="str">
        <f>CONCATENATE(615072,",",ROW(BCTCR_06608!D92),"|",COLUMN(BCTCR_06608!D92),",0",",0")</f>
        <v>615072,92|4,0,0</v>
      </c>
      <c r="E92" t="str">
        <f>CONCATENATE(614651,",",ROW(BCTCR_06608!E92),"|",COLUMN(BCTCR_06608!E92),",0",",0")</f>
        <v>614651,92|5,0,0</v>
      </c>
    </row>
    <row r="93" spans="1:5" x14ac:dyDescent="0.25">
      <c r="A93" t="str">
        <f>CONCATENATE(615148,",",ROW(BCTCR_06608!A93),"|",COLUMN(BCTCR_06608!A93),",0",",0")</f>
        <v>615148,93|1,0,0</v>
      </c>
      <c r="B93" t="str">
        <f>CONCATENATE(615143,",",ROW(BCTCR_06608!B93),"|",COLUMN(BCTCR_06608!B93),",0",",0")</f>
        <v>615143,93|2,0,0</v>
      </c>
      <c r="C93" t="str">
        <f>CONCATENATE(614809,",",ROW(BCTCR_06608!C93),"|",COLUMN(BCTCR_06608!C93),",0",",0")</f>
        <v>614809,93|3,0,0</v>
      </c>
      <c r="D93" t="str">
        <f>CONCATENATE(615077,",",ROW(BCTCR_06608!D93),"|",COLUMN(BCTCR_06608!D93),",0",",0")</f>
        <v>615077,93|4,0,0</v>
      </c>
      <c r="E93" t="str">
        <f>CONCATENATE(614652,",",ROW(BCTCR_06608!E93),"|",COLUMN(BCTCR_06608!E93),",0",",0")</f>
        <v>614652,93|5,0,0</v>
      </c>
    </row>
    <row r="94" spans="1:5" x14ac:dyDescent="0.25">
      <c r="A94" t="str">
        <f>CONCATENATE(614899,",",ROW(BCTCR_06608!A94),"|",COLUMN(BCTCR_06608!A94),",0",",0")</f>
        <v>614899,94|1,0,0</v>
      </c>
      <c r="B94" t="str">
        <f>CONCATENATE(614745,",",ROW(BCTCR_06608!B94),"|",COLUMN(BCTCR_06608!B94),",0",",0")</f>
        <v>614745,94|2,0,0</v>
      </c>
      <c r="C94" t="str">
        <f>CONCATENATE(614697,",",ROW(BCTCR_06608!C94),"|",COLUMN(BCTCR_06608!C94),",0",",0")</f>
        <v>614697,94|3,0,0</v>
      </c>
      <c r="D94" t="str">
        <f>CONCATENATE(614718,",",ROW(BCTCR_06608!D94),"|",COLUMN(BCTCR_06608!D94),",0",",0")</f>
        <v>614718,94|4,0,0</v>
      </c>
      <c r="E94" t="str">
        <f>CONCATENATE(614946,",",ROW(BCTCR_06608!E94),"|",COLUMN(BCTCR_06608!E94),",0",",0")</f>
        <v>614946,94|5,0,0</v>
      </c>
    </row>
    <row r="95" spans="1:5" x14ac:dyDescent="0.25">
      <c r="A95" t="str">
        <f>CONCATENATE(614964,",",ROW(BCTCR_06608!A95),"|",COLUMN(BCTCR_06608!A95),",0",",0")</f>
        <v>614964,95|1,0,0</v>
      </c>
      <c r="B95" t="str">
        <f>CONCATENATE(615144,",",ROW(BCTCR_06608!B95),"|",COLUMN(BCTCR_06608!B95),",0",",0")</f>
        <v>615144,95|2,0,0</v>
      </c>
      <c r="C95" t="str">
        <f>CONCATENATE(615258,",",ROW(BCTCR_06608!C95),"|",COLUMN(BCTCR_06608!C95),",0",",0")</f>
        <v>615258,95|3,0,0</v>
      </c>
      <c r="D95" t="str">
        <f>CONCATENATE(614667,",",ROW(BCTCR_06608!D95),"|",COLUMN(BCTCR_06608!D95),",0",",0")</f>
        <v>614667,95|4,0,0</v>
      </c>
      <c r="E95" t="str">
        <f>CONCATENATE(614979,",",ROW(BCTCR_06608!E95),"|",COLUMN(BCTCR_06608!E95),",0",",0")</f>
        <v>614979,95|5,0,0</v>
      </c>
    </row>
    <row r="96" spans="1:5" x14ac:dyDescent="0.25">
      <c r="A96" t="str">
        <f>CONCATENATE(615149,",",ROW(BCTCR_06608!A96),"|",COLUMN(BCTCR_06608!A96),",0",",0")</f>
        <v>615149,96|1,0,0</v>
      </c>
      <c r="B96" t="str">
        <f>CONCATENATE(615029,",",ROW(BCTCR_06608!B96),"|",COLUMN(BCTCR_06608!B96),",0",",0")</f>
        <v>615029,96|2,0,0</v>
      </c>
      <c r="C96" t="str">
        <f>CONCATENATE(614841,",",ROW(BCTCR_06608!C96),"|",COLUMN(BCTCR_06608!C96),",0",",0")</f>
        <v>614841,96|3,0,0</v>
      </c>
      <c r="D96" t="str">
        <f>CONCATENATE(615078,",",ROW(BCTCR_06608!D96),"|",COLUMN(BCTCR_06608!D96),",0",",0")</f>
        <v>615078,96|4,0,0</v>
      </c>
      <c r="E96" t="str">
        <f>CONCATENATE(614653,",",ROW(BCTCR_06608!E96),"|",COLUMN(BCTCR_06608!E96),",0",",0")</f>
        <v>614653,96|5,0,0</v>
      </c>
    </row>
    <row r="97" spans="1:5" x14ac:dyDescent="0.25">
      <c r="A97" t="str">
        <f>CONCATENATE(614965,",",ROW(BCTCR_06608!A97),"|",COLUMN(BCTCR_06608!A97),",0",",0")</f>
        <v>614965,97|1,0,0</v>
      </c>
      <c r="B97" t="str">
        <f>CONCATENATE(614682,",",ROW(BCTCR_06608!B97),"|",COLUMN(BCTCR_06608!B97),",0",",0")</f>
        <v>614682,97|2,0,0</v>
      </c>
      <c r="C97" t="str">
        <f>CONCATENATE(615259,",",ROW(BCTCR_06608!C97),"|",COLUMN(BCTCR_06608!C97),",0",",0")</f>
        <v>615259,97|3,0,0</v>
      </c>
      <c r="D97" t="str">
        <f>CONCATENATE(614668,",",ROW(BCTCR_06608!D97),"|",COLUMN(BCTCR_06608!D97),",0",",0")</f>
        <v>614668,97|4,0,0</v>
      </c>
      <c r="E97" t="str">
        <f>CONCATENATE(614980,",",ROW(BCTCR_06608!E97),"|",COLUMN(BCTCR_06608!E97),",0",",0")</f>
        <v>614980,97|5,0,0</v>
      </c>
    </row>
    <row r="98" spans="1:5" x14ac:dyDescent="0.25">
      <c r="A98" t="str">
        <f>CONCATENATE(614995,",",ROW(BCTCR_06608!A98),"|",COLUMN(BCTCR_06608!A98),",0",",0")</f>
        <v>614995,98|1,0,0</v>
      </c>
      <c r="B98" t="str">
        <f>CONCATENATE(615030,",",ROW(BCTCR_06608!B98),"|",COLUMN(BCTCR_06608!B98),",0",",0")</f>
        <v>615030,98|2,0,0</v>
      </c>
      <c r="C98" t="str">
        <f>CONCATENATE(614698,",",ROW(BCTCR_06608!C98),"|",COLUMN(BCTCR_06608!C98),",0",",0")</f>
        <v>614698,98|3,0,0</v>
      </c>
      <c r="D98" t="str">
        <f>CONCATENATE(614719,",",ROW(BCTCR_06608!D98),"|",COLUMN(BCTCR_06608!D98),",0",",0")</f>
        <v>614719,98|4,0,0</v>
      </c>
      <c r="E98" t="str">
        <f>CONCATENATE(614947,",",ROW(BCTCR_06608!E98),"|",COLUMN(BCTCR_06608!E98),",0",",0")</f>
        <v>614947,98|5,0,0</v>
      </c>
    </row>
    <row r="99" spans="1:5" x14ac:dyDescent="0.25">
      <c r="A99" t="str">
        <f>CONCATENATE(614996,",",ROW(BCTCR_06608!A99),"|",COLUMN(BCTCR_06608!A99),",0",",0")</f>
        <v>614996,99|1,0,0</v>
      </c>
      <c r="B99" t="str">
        <f>CONCATENATE(614871,",",ROW(BCTCR_06608!B99),"|",COLUMN(BCTCR_06608!B99),",0",",0")</f>
        <v>614871,99|2,0,0</v>
      </c>
      <c r="C99" t="str">
        <f>CONCATENATE(614699,",",ROW(BCTCR_06608!C99),"|",COLUMN(BCTCR_06608!C99),",0",",0")</f>
        <v>614699,99|3,0,0</v>
      </c>
      <c r="D99" t="str">
        <f>CONCATENATE(614720,",",ROW(BCTCR_06608!D99),"|",COLUMN(BCTCR_06608!D99),",0",",0")</f>
        <v>614720,99|4,0,0</v>
      </c>
      <c r="E99" t="str">
        <f>CONCATENATE(614948,",",ROW(BCTCR_06608!E99),"|",COLUMN(BCTCR_06608!E99),",0",",0")</f>
        <v>614948,99|5,0,0</v>
      </c>
    </row>
    <row r="100" spans="1:5" x14ac:dyDescent="0.25">
      <c r="A100" t="str">
        <f>CONCATENATE(614901,",",ROW(BCTCR_06608!A100),"|",COLUMN(BCTCR_06608!A100),",0",",0")</f>
        <v>614901,100|1,0,0</v>
      </c>
      <c r="B100" t="str">
        <f>CONCATENATE(614746,",",ROW(BCTCR_06608!B100),"|",COLUMN(BCTCR_06608!B100),",0",",0")</f>
        <v>614746,100|2,0,0</v>
      </c>
      <c r="C100" t="str">
        <f>CONCATENATE(614700,",",ROW(BCTCR_06608!C100),"|",COLUMN(BCTCR_06608!C100),",0",",0")</f>
        <v>614700,100|3,0,0</v>
      </c>
      <c r="D100" t="str">
        <f>CONCATENATE(614721,",",ROW(BCTCR_06608!D100),"|",COLUMN(BCTCR_06608!D100),",0",",0")</f>
        <v>614721,100|4,0,0</v>
      </c>
      <c r="E100" t="str">
        <f>CONCATENATE(614949,",",ROW(BCTCR_06608!E100),"|",COLUMN(BCTCR_06608!E100),",0",",0")</f>
        <v>614949,100|5,0,0</v>
      </c>
    </row>
    <row r="101" spans="1:5" x14ac:dyDescent="0.25">
      <c r="A101" t="str">
        <f>CONCATENATE(614966,",",ROW(BCTCR_06608!A101),"|",COLUMN(BCTCR_06608!A101),",0",",0")</f>
        <v>614966,101|1,0,0</v>
      </c>
      <c r="B101" t="str">
        <f>CONCATENATE(614748,",",ROW(BCTCR_06608!B101),"|",COLUMN(BCTCR_06608!B101),",0",",0")</f>
        <v>614748,101|2,0,0</v>
      </c>
      <c r="C101" t="str">
        <f>CONCATENATE(614993,",",ROW(BCTCR_06608!C101),"|",COLUMN(BCTCR_06608!C101),",0",",0")</f>
        <v>614993,101|3,0,0</v>
      </c>
      <c r="D101" t="str">
        <f>CONCATENATE(614788,",",ROW(BCTCR_06608!D101),"|",COLUMN(BCTCR_06608!D101),",0",",0")</f>
        <v>614788,101|4,0,0</v>
      </c>
      <c r="E101" t="str">
        <f>CONCATENATE(615052,",",ROW(BCTCR_06608!E101),"|",COLUMN(BCTCR_06608!E101),",0",",0")</f>
        <v>615052,101|5,0,0</v>
      </c>
    </row>
    <row r="102" spans="1:5" x14ac:dyDescent="0.25">
      <c r="A102" t="str">
        <f>CONCATENATE(614967,",",ROW(BCTCR_06608!A102),"|",COLUMN(BCTCR_06608!A102),",0",",0")</f>
        <v>614967,102|1,0,0</v>
      </c>
      <c r="B102" t="str">
        <f>CONCATENATE(614683,",",ROW(BCTCR_06608!B102),"|",COLUMN(BCTCR_06608!B102),",0",",0")</f>
        <v>614683,102|2,0,0</v>
      </c>
      <c r="C102" t="str">
        <f>CONCATENATE(615260,",",ROW(BCTCR_06608!C102),"|",COLUMN(BCTCR_06608!C102),",0",",0")</f>
        <v>615260,102|3,0,0</v>
      </c>
      <c r="D102" t="str">
        <f>CONCATENATE(614842,",",ROW(BCTCR_06608!D102),"|",COLUMN(BCTCR_06608!D102),",0",",0")</f>
        <v>614842,102|4,0,0</v>
      </c>
      <c r="E102" t="str">
        <f>CONCATENATE(614981,",",ROW(BCTCR_06608!E102),"|",COLUMN(BCTCR_06608!E102),",0",",0")</f>
        <v>614981,102|5,0,0</v>
      </c>
    </row>
    <row r="103" spans="1:5" x14ac:dyDescent="0.25">
      <c r="A103" t="str">
        <f>CONCATENATE(615150,",",ROW(BCTCR_06608!A103),"|",COLUMN(BCTCR_06608!A103),",0",",0")</f>
        <v>615150,103|1,0,0</v>
      </c>
      <c r="B103" t="str">
        <f>CONCATENATE(615031,",",ROW(BCTCR_06608!B103),"|",COLUMN(BCTCR_06608!B103),",0",",0")</f>
        <v>615031,103|2,0,0</v>
      </c>
      <c r="C103" t="str">
        <f>CONCATENATE(615124,",",ROW(BCTCR_06608!C103),"|",COLUMN(BCTCR_06608!C103),",0",",0")</f>
        <v>615124,103|3,0,0</v>
      </c>
      <c r="D103" t="str">
        <f>CONCATENATE(615079,",",ROW(BCTCR_06608!D103),"|",COLUMN(BCTCR_06608!D103),",0",",0")</f>
        <v>615079,103|4,0,0</v>
      </c>
      <c r="E103" t="str">
        <f>CONCATENATE(614691,",",ROW(BCTCR_06608!E103),"|",COLUMN(BCTCR_06608!E103),",0",",0")</f>
        <v>614691,103|5,0,0</v>
      </c>
    </row>
    <row r="104" spans="1:5" x14ac:dyDescent="0.25">
      <c r="A104" t="str">
        <f>CONCATENATE(614997,",",ROW(BCTCR_06608!A104),"|",COLUMN(BCTCR_06608!A104),",0",",0")</f>
        <v>614997,104|1,0,0</v>
      </c>
      <c r="B104" t="str">
        <f>CONCATENATE(614749,",",ROW(BCTCR_06608!B104),"|",COLUMN(BCTCR_06608!B104),",0",",0")</f>
        <v>614749,104|2,0,0</v>
      </c>
      <c r="C104" t="str">
        <f>CONCATENATE(614701,",",ROW(BCTCR_06608!C104),"|",COLUMN(BCTCR_06608!C104),",0",",0")</f>
        <v>614701,104|3,0,0</v>
      </c>
      <c r="D104" t="str">
        <f>CONCATENATE(614722,",",ROW(BCTCR_06608!D104),"|",COLUMN(BCTCR_06608!D104),",0",",0")</f>
        <v>614722,104|4,0,0</v>
      </c>
      <c r="E104" t="str">
        <f>CONCATENATE(614950,",",ROW(BCTCR_06608!E104),"|",COLUMN(BCTCR_06608!E104),",0",",0")</f>
        <v>614950,104|5,0,0</v>
      </c>
    </row>
    <row r="105" spans="1:5" x14ac:dyDescent="0.25">
      <c r="A105" t="str">
        <f>CONCATENATE(614998,",",ROW(BCTCR_06608!A105),"|",COLUMN(BCTCR_06608!A105),",0",",0")</f>
        <v>614998,105|1,0,0</v>
      </c>
      <c r="B105" t="str">
        <f>CONCATENATE(615032,",",ROW(BCTCR_06608!B105),"|",COLUMN(BCTCR_06608!B105),",0",",0")</f>
        <v>615032,105|2,0,0</v>
      </c>
      <c r="C105" t="str">
        <f>CONCATENATE(614702,",",ROW(BCTCR_06608!C105),"|",COLUMN(BCTCR_06608!C105),",0",",0")</f>
        <v>614702,105|3,0,0</v>
      </c>
      <c r="D105" t="str">
        <f>CONCATENATE(614723,",",ROW(BCTCR_06608!D105),"|",COLUMN(BCTCR_06608!D105),",0",",0")</f>
        <v>614723,105|4,0,0</v>
      </c>
      <c r="E105" t="str">
        <f>CONCATENATE(614951,",",ROW(BCTCR_06608!E105),"|",COLUMN(BCTCR_06608!E105),",0",",0")</f>
        <v>614951,105|5,0,0</v>
      </c>
    </row>
    <row r="106" spans="1:5" x14ac:dyDescent="0.25">
      <c r="A106" t="str">
        <f>CONCATENATE(614902,",",ROW(BCTCR_06608!A106),"|",COLUMN(BCTCR_06608!A106),",0",",0")</f>
        <v>614902,106|1,0,0</v>
      </c>
      <c r="B106" t="str">
        <f>CONCATENATE(614750,",",ROW(BCTCR_06608!B106),"|",COLUMN(BCTCR_06608!B106),",0",",0")</f>
        <v>614750,106|2,0,0</v>
      </c>
      <c r="C106" t="str">
        <f>CONCATENATE(614992,",",ROW(BCTCR_06608!C106),"|",COLUMN(BCTCR_06608!C106),",0",",0")</f>
        <v>614992,106|3,0,0</v>
      </c>
      <c r="D106" t="str">
        <f>CONCATENATE(614787,",",ROW(BCTCR_06608!D106),"|",COLUMN(BCTCR_06608!D106),",0",",0")</f>
        <v>614787,106|4,0,0</v>
      </c>
      <c r="E106" t="str">
        <f>CONCATENATE(614953,",",ROW(BCTCR_06608!E106),"|",COLUMN(BCTCR_06608!E106),",0",",0")</f>
        <v>614953,106|5,0,0</v>
      </c>
    </row>
    <row r="107" spans="1:5" x14ac:dyDescent="0.25">
      <c r="A107" t="str">
        <f>CONCATENATE(615230,",",ROW(BCTCR_06608!A107),"|",COLUMN(BCTCR_06608!A107),",0",",0")</f>
        <v>615230,107|1,0,0</v>
      </c>
      <c r="B107" t="str">
        <f>CONCATENATE(615033,",",ROW(BCTCR_06608!B107),"|",COLUMN(BCTCR_06608!B107),",0",",0")</f>
        <v>615033,107|2,0,0</v>
      </c>
      <c r="C107" t="str">
        <f>CONCATENATE(615042,",",ROW(BCTCR_06608!C107),"|",COLUMN(BCTCR_06608!C107),",0",",0")</f>
        <v>615042,107|3,0,0</v>
      </c>
      <c r="D107" t="str">
        <f>CONCATENATE(614786,",",ROW(BCTCR_06608!D107),"|",COLUMN(BCTCR_06608!D107),",0",",0")</f>
        <v>614786,107|4,0,0</v>
      </c>
      <c r="E107" t="str">
        <f>CONCATENATE(614952,",",ROW(BCTCR_06608!E107),"|",COLUMN(BCTCR_06608!E107),",0",",0")</f>
        <v>614952,107|5,0,0</v>
      </c>
    </row>
    <row r="108" spans="1:5" x14ac:dyDescent="0.25">
      <c r="A108" t="str">
        <f>CONCATENATE(614669,",",ROW(BCTCR_06608!A108),"|",COLUMN(BCTCR_06608!A108),",0",",0")</f>
        <v>614669,108|1,0,0</v>
      </c>
      <c r="B108" t="str">
        <f>CONCATENATE(615034,",",ROW(BCTCR_06608!B108),"|",COLUMN(BCTCR_06608!B108),",0",",0")</f>
        <v>615034,108|2,0,0</v>
      </c>
      <c r="C108" t="str">
        <f>CONCATENATE(615125,",",ROW(BCTCR_06608!C108),"|",COLUMN(BCTCR_06608!C108),",0",",0")</f>
        <v>615125,108|3,0,0</v>
      </c>
      <c r="D108" t="str">
        <f>CONCATENATE(615080,",",ROW(BCTCR_06608!D108),"|",COLUMN(BCTCR_06608!D108),",0",",0")</f>
        <v>615080,108|4,0,0</v>
      </c>
      <c r="E108" t="str">
        <f>CONCATENATE(614692,",",ROW(BCTCR_06608!E108),"|",COLUMN(BCTCR_06608!E108),",0",",0")</f>
        <v>614692,108|5,0,0</v>
      </c>
    </row>
    <row r="109" spans="1:5" x14ac:dyDescent="0.25">
      <c r="A109" t="str">
        <f>CONCATENATE(614999,",",ROW(BCTCR_06608!A109),"|",COLUMN(BCTCR_06608!A109),",0",",0")</f>
        <v>614999,109|1,0,0</v>
      </c>
      <c r="B109" t="str">
        <f>CONCATENATE(614751,",",ROW(BCTCR_06608!B109),"|",COLUMN(BCTCR_06608!B109),",0",",0")</f>
        <v>614751,109|2,0,0</v>
      </c>
      <c r="C109" t="str">
        <f>CONCATENATE(615262,",",ROW(BCTCR_06608!C109),"|",COLUMN(BCTCR_06608!C109),",0",",0")</f>
        <v>615262,109|3,0,0</v>
      </c>
      <c r="D109" t="str">
        <f>CONCATENATE(614845,",",ROW(BCTCR_06608!D109),"|",COLUMN(BCTCR_06608!D109),",0",",0")</f>
        <v>614845,109|4,0,0</v>
      </c>
      <c r="E109" t="str">
        <f>CONCATENATE(614984,",",ROW(BCTCR_06608!E109),"|",COLUMN(BCTCR_06608!E109),",0",",0")</f>
        <v>614984,109|5,0,0</v>
      </c>
    </row>
    <row r="110" spans="1:5" x14ac:dyDescent="0.25">
      <c r="A110" t="str">
        <f>CONCATENATE(615000,",",ROW(BCTCR_06608!A110),"|",COLUMN(BCTCR_06608!A110),",0",",0")</f>
        <v>615000,110|1,0,0</v>
      </c>
      <c r="B110" t="str">
        <f>CONCATENATE(615035,",",ROW(BCTCR_06608!B110),"|",COLUMN(BCTCR_06608!B110),",0",",0")</f>
        <v>615035,110|2,0,0</v>
      </c>
      <c r="C110" t="str">
        <f>CONCATENATE(615263,",",ROW(BCTCR_06608!C110),"|",COLUMN(BCTCR_06608!C110),",0",",0")</f>
        <v>615263,110|3,0,0</v>
      </c>
      <c r="D110" t="str">
        <f>CONCATENATE(614846,",",ROW(BCTCR_06608!D110),"|",COLUMN(BCTCR_06608!D110),",0",",0")</f>
        <v>614846,110|4,0,0</v>
      </c>
      <c r="E110" t="str">
        <f>CONCATENATE(614985,",",ROW(BCTCR_06608!E110),"|",COLUMN(BCTCR_06608!E110),",0",",0")</f>
        <v>614985,110|5,0,0</v>
      </c>
    </row>
    <row r="111" spans="1:5" x14ac:dyDescent="0.25">
      <c r="A111" t="str">
        <f>CONCATENATE(614903,",",ROW(BCTCR_06608!A111),"|",COLUMN(BCTCR_06608!A111),",0",",0")</f>
        <v>614903,111|1,0,0</v>
      </c>
      <c r="B111" t="str">
        <f>CONCATENATE(615036,",",ROW(BCTCR_06608!B111),"|",COLUMN(BCTCR_06608!B111),",0",",0")</f>
        <v>615036,111|2,0,0</v>
      </c>
      <c r="C111" t="str">
        <f>CONCATENATE(615264,",",ROW(BCTCR_06608!C111),"|",COLUMN(BCTCR_06608!C111),",0",",0")</f>
        <v>615264,111|3,0,0</v>
      </c>
      <c r="D111" t="str">
        <f>CONCATENATE(614847,",",ROW(BCTCR_06608!D111),"|",COLUMN(BCTCR_06608!D111),",0",",0")</f>
        <v>614847,111|4,0,0</v>
      </c>
      <c r="E111" t="str">
        <f>CONCATENATE(614986,",",ROW(BCTCR_06608!E111),"|",COLUMN(BCTCR_06608!E111),",0",",0")</f>
        <v>614986,111|5,0,0</v>
      </c>
    </row>
    <row r="112" spans="1:5" x14ac:dyDescent="0.25">
      <c r="A112" t="str">
        <f>CONCATENATE(614672,",",ROW(BCTCR_06608!A112),"|",COLUMN(BCTCR_06608!A112),",0",",0")</f>
        <v>614672,112|1,0,0</v>
      </c>
      <c r="B112" t="str">
        <f>CONCATENATE(614752,",",ROW(BCTCR_06608!B112),"|",COLUMN(BCTCR_06608!B112),",0",",0")</f>
        <v>614752,112|2,0,0</v>
      </c>
      <c r="C112" t="str">
        <f>CONCATENATE(615265,",",ROW(BCTCR_06608!C112),"|",COLUMN(BCTCR_06608!C112),",0",",0")</f>
        <v>615265,112|3,0,0</v>
      </c>
      <c r="D112" t="str">
        <f>CONCATENATE(614848,",",ROW(BCTCR_06608!D112),"|",COLUMN(BCTCR_06608!D112),",0",",0")</f>
        <v>614848,112|4,0,0</v>
      </c>
      <c r="E112" t="str">
        <f>CONCATENATE(614989,",",ROW(BCTCR_06608!E112),"|",COLUMN(BCTCR_06608!E112),",0",",0")</f>
        <v>614989,112|5,0,0</v>
      </c>
    </row>
    <row r="113" spans="1:5" x14ac:dyDescent="0.25">
      <c r="A113" t="str">
        <f>CONCATENATE(614747,",",ROW(BCTCR_06608!A113),"|",COLUMN(BCTCR_06608!A113),",0",",0")</f>
        <v>614747,113|1,0,0</v>
      </c>
      <c r="B113" t="str">
        <f>CONCATENATE(615037,",",ROW(BCTCR_06608!B113),"|",COLUMN(BCTCR_06608!B113),",0",",0")</f>
        <v>615037,113|2,0,0</v>
      </c>
      <c r="C113" t="str">
        <f>CONCATENATE(615266,",",ROW(BCTCR_06608!C113),"|",COLUMN(BCTCR_06608!C113),",0",",0")</f>
        <v>615266,113|3,0,0</v>
      </c>
      <c r="D113" t="str">
        <f>CONCATENATE(614849,",",ROW(BCTCR_06608!D113),"|",COLUMN(BCTCR_06608!D113),",0",",0")</f>
        <v>614849,113|4,0,0</v>
      </c>
      <c r="E113" t="str">
        <f>CONCATENATE(614990,",",ROW(BCTCR_06608!E113),"|",COLUMN(BCTCR_06608!E113),",0",",0")</f>
        <v>614990,113|5,0,0</v>
      </c>
    </row>
    <row r="114" spans="1:5" x14ac:dyDescent="0.25">
      <c r="A114" t="str">
        <f>CONCATENATE(614670,",",ROW(BCTCR_06608!A114),"|",COLUMN(BCTCR_06608!A114),",0",",0")</f>
        <v>614670,114|1,0,0</v>
      </c>
      <c r="B114" t="str">
        <f>CONCATENATE(614753,",",ROW(BCTCR_06608!B114),"|",COLUMN(BCTCR_06608!B114),",0",",0")</f>
        <v>614753,114|2,0,0</v>
      </c>
      <c r="C114" t="str">
        <f>CONCATENATE(615126,",",ROW(BCTCR_06608!C114),"|",COLUMN(BCTCR_06608!C114),",0",",0")</f>
        <v>615126,114|3,0,0</v>
      </c>
      <c r="D114" t="str">
        <f>CONCATENATE(615081,",",ROW(BCTCR_06608!D114),"|",COLUMN(BCTCR_06608!D114),",0",",0")</f>
        <v>615081,114|4,0,0</v>
      </c>
      <c r="E114" t="str">
        <f>CONCATENATE(614693,",",ROW(BCTCR_06608!E114),"|",COLUMN(BCTCR_06608!E114),",0",",0")</f>
        <v>614693,114|5,0,0</v>
      </c>
    </row>
    <row r="115" spans="1:5" x14ac:dyDescent="0.25">
      <c r="A115" t="str">
        <f>CONCATENATE(615001,",",ROW(BCTCR_06608!A115),"|",COLUMN(BCTCR_06608!A115),",0",",0")</f>
        <v>615001,115|1,0,0</v>
      </c>
      <c r="B115" t="str">
        <f>CONCATENATE(614872,",",ROW(BCTCR_06608!B115),"|",COLUMN(BCTCR_06608!B115),",0",",0")</f>
        <v>614872,115|2,0,0</v>
      </c>
      <c r="C115" t="str">
        <f>CONCATENATE(615267,",",ROW(BCTCR_06608!C115),"|",COLUMN(BCTCR_06608!C115),",0",",0")</f>
        <v>615267,115|3,0,0</v>
      </c>
      <c r="D115" t="str">
        <f>CONCATENATE(614850,",",ROW(BCTCR_06608!D115),"|",COLUMN(BCTCR_06608!D115),",0",",0")</f>
        <v>614850,115|4,0,0</v>
      </c>
      <c r="E115" t="str">
        <f>CONCATENATE(614991,",",ROW(BCTCR_06608!E115),"|",COLUMN(BCTCR_06608!E115),",0",",0")</f>
        <v>614991,115|5,0,0</v>
      </c>
    </row>
    <row r="116" spans="1:5" x14ac:dyDescent="0.25">
      <c r="A116" t="str">
        <f>CONCATENATE(615153,",",ROW(BCTCR_06608!A116),"|",COLUMN(BCTCR_06608!A116),",0",",0")</f>
        <v>615153,116|1,0,0</v>
      </c>
      <c r="B116" t="s">
        <v>5</v>
      </c>
      <c r="C116" t="str">
        <f>CONCATENATE(615223,",",ROW(BCTCR_06608!C116),"|",COLUMN(BCTCR_06608!C116),",0",",0")</f>
        <v>615223,116|3,0,0</v>
      </c>
      <c r="D116" t="str">
        <f>CONCATENATE(615225,",",ROW(BCTCR_06608!D116),"|",COLUMN(BCTCR_06608!D116),",0",",0")</f>
        <v>615225,116|4,0,0</v>
      </c>
      <c r="E116" t="str">
        <f>CONCATENATE(614915,",",ROW(BCTCR_06608!E116),"|",COLUMN(BCTCR_06608!E116),",0",",0")</f>
        <v>614915,116|5,0,0</v>
      </c>
    </row>
    <row r="117" spans="1:5" x14ac:dyDescent="0.25">
      <c r="A117" t="str">
        <f>CONCATENATE(614968,",",ROW(BCTCR_06608!A117),"|",COLUMN(BCTCR_06608!A117),",0",",0")</f>
        <v>614968,117|1,0,0</v>
      </c>
      <c r="B117" t="str">
        <f>CONCATENATE(615038,",",ROW(BCTCR_06608!B117),"|",COLUMN(BCTCR_06608!B117),",0",",0")</f>
        <v>615038,117|2,0,0</v>
      </c>
      <c r="C117" t="str">
        <f>CONCATENATE(615268,",",ROW(BCTCR_06608!C117),"|",COLUMN(BCTCR_06608!C117),",0",",0")</f>
        <v>615268,117|3,0,0</v>
      </c>
      <c r="D117" t="str">
        <f>CONCATENATE(614851,",",ROW(BCTCR_06608!D117),"|",COLUMN(BCTCR_06608!D117),",0",",0")</f>
        <v>614851,117|4,0,0</v>
      </c>
      <c r="E117" t="str">
        <f>CONCATENATE(614922,",",ROW(BCTCR_06608!E117),"|",COLUMN(BCTCR_06608!E117),",0",",0")</f>
        <v>614922,117|5,0,0</v>
      </c>
    </row>
    <row r="118" spans="1:5" x14ac:dyDescent="0.25">
      <c r="A118" t="str">
        <f>CONCATENATE(614969,",",ROW(BCTCR_06608!A118),"|",COLUMN(BCTCR_06608!A118),",0",",0")</f>
        <v>614969,118|1,0,0</v>
      </c>
      <c r="B118" t="str">
        <f>CONCATENATE(614754,",",ROW(BCTCR_06608!B118),"|",COLUMN(BCTCR_06608!B118),",0",",0")</f>
        <v>614754,118|2,0,0</v>
      </c>
      <c r="C118" t="str">
        <f>CONCATENATE(615269,",",ROW(BCTCR_06608!C118),"|",COLUMN(BCTCR_06608!C118),",0",",0")</f>
        <v>615269,118|3,0,0</v>
      </c>
      <c r="D118" t="str">
        <f>CONCATENATE(614852,",",ROW(BCTCR_06608!D118),"|",COLUMN(BCTCR_06608!D118),",0",",0")</f>
        <v>614852,118|4,0,0</v>
      </c>
      <c r="E118" t="str">
        <f>CONCATENATE(614771,",",ROW(BCTCR_06608!E118),"|",COLUMN(BCTCR_06608!E118),",0",",0")</f>
        <v>614771,118|5,0,0</v>
      </c>
    </row>
    <row r="119" spans="1:5" x14ac:dyDescent="0.25">
      <c r="A119" t="str">
        <f>CONCATENATE(614671,",",ROW(BCTCR_06608!A119),"|",COLUMN(BCTCR_06608!A119),",0",",0")</f>
        <v>614671,119|1,0,0</v>
      </c>
      <c r="B119" t="str">
        <f>CONCATENATE(614755,",",ROW(BCTCR_06608!B119),"|",COLUMN(BCTCR_06608!B119),",0",",0")</f>
        <v>614755,119|2,0,0</v>
      </c>
      <c r="C119" t="str">
        <f>CONCATENATE(615127,",",ROW(BCTCR_06608!C119),"|",COLUMN(BCTCR_06608!C119),",0",",0")</f>
        <v>615127,119|3,0,0</v>
      </c>
      <c r="D119" t="str">
        <f>CONCATENATE(615082,",",ROW(BCTCR_06608!D119),"|",COLUMN(BCTCR_06608!D119),",0",",0")</f>
        <v>615082,119|4,0,0</v>
      </c>
      <c r="E119" t="str">
        <f>CONCATENATE(614694,",",ROW(BCTCR_06608!E119),"|",COLUMN(BCTCR_06608!E119),",0",",0")</f>
        <v>614694,119|5,0,0</v>
      </c>
    </row>
    <row r="120" spans="1:5" x14ac:dyDescent="0.25">
      <c r="A120" t="str">
        <f>CONCATENATE(615002,",",ROW(BCTCR_06608!A120),"|",COLUMN(BCTCR_06608!A120),",0",",0")</f>
        <v>615002,120|1,0,0</v>
      </c>
      <c r="B120" t="str">
        <f>CONCATENATE(614987,",",ROW(BCTCR_06608!B120),"|",COLUMN(BCTCR_06608!B120),",0",",0")</f>
        <v>614987,120|2,0,0</v>
      </c>
      <c r="C120" t="str">
        <f>CONCATENATE(615306,",",ROW(BCTCR_06608!C120),"|",COLUMN(BCTCR_06608!C120),",0",",0")</f>
        <v>615306,120|3,0,0</v>
      </c>
      <c r="D120" t="str">
        <f>CONCATENATE(614843,",",ROW(BCTCR_06608!D120),"|",COLUMN(BCTCR_06608!D120),",0",",0")</f>
        <v>614843,120|4,0,0</v>
      </c>
      <c r="E120" t="str">
        <f>CONCATENATE(614982,",",ROW(BCTCR_06608!E120),"|",COLUMN(BCTCR_06608!E120),",0",",0")</f>
        <v>614982,120|5,0,0</v>
      </c>
    </row>
    <row r="121" spans="1:5" x14ac:dyDescent="0.25">
      <c r="A121" t="str">
        <f>CONCATENATE(615076,",",ROW(BCTCR_06608!A121),"|",COLUMN(BCTCR_06608!A121),",0",",0")</f>
        <v>615076,121|1,0,0</v>
      </c>
      <c r="B121" t="str">
        <f>CONCATENATE(614756,",",ROW(BCTCR_06608!B121),"|",COLUMN(BCTCR_06608!B121),",0",",0")</f>
        <v>614756,121|2,0,0</v>
      </c>
      <c r="C121" t="str">
        <f>CONCATENATE(615128,",",ROW(BCTCR_06608!C121),"|",COLUMN(BCTCR_06608!C121),",0",",0")</f>
        <v>615128,121|3,0,0</v>
      </c>
      <c r="D121" t="str">
        <f>CONCATENATE(615083,",",ROW(BCTCR_06608!D121),"|",COLUMN(BCTCR_06608!D121),",0",",0")</f>
        <v>615083,121|4,0,0</v>
      </c>
      <c r="E121" t="str">
        <f>CONCATENATE(614937,",",ROW(BCTCR_06608!E121),"|",COLUMN(BCTCR_06608!E121),",0",",0")</f>
        <v>614937,121|5,0,0</v>
      </c>
    </row>
    <row r="122" spans="1:5" x14ac:dyDescent="0.25">
      <c r="A122" t="str">
        <f>CONCATENATE(614673,",",ROW(BCTCR_06608!A122),"|",COLUMN(BCTCR_06608!A122),",0",",0")</f>
        <v>614673,122|1,0,0</v>
      </c>
      <c r="B122" t="str">
        <f>CONCATENATE(614988,",",ROW(BCTCR_06608!B122),"|",COLUMN(BCTCR_06608!B122),",0",",0")</f>
        <v>614988,122|2,0,0</v>
      </c>
      <c r="C122" t="str">
        <f>CONCATENATE(615261,",",ROW(BCTCR_06608!C122),"|",COLUMN(BCTCR_06608!C122),",0",",0")</f>
        <v>615261,122|3,0,0</v>
      </c>
      <c r="D122" t="str">
        <f>CONCATENATE(614844,",",ROW(BCTCR_06608!D122),"|",COLUMN(BCTCR_06608!D122),",0",",0")</f>
        <v>614844,122|4,0,0</v>
      </c>
      <c r="E122" t="str">
        <f>CONCATENATE(614983,",",ROW(BCTCR_06608!E122),"|",COLUMN(BCTCR_06608!E122),",0",",0")</f>
        <v>614983,122|5,0,0</v>
      </c>
    </row>
    <row r="123" spans="1:5" x14ac:dyDescent="0.25">
      <c r="A123" t="str">
        <f>CONCATENATE(614970,",",ROW(BCTCR_06608!A123),"|",COLUMN(BCTCR_06608!A123),",0",",0")</f>
        <v>614970,123|1,0,0</v>
      </c>
      <c r="B123" t="str">
        <f>CONCATENATE(615039,",",ROW(BCTCR_06608!B123),"|",COLUMN(BCTCR_06608!B123),",0",",0")</f>
        <v>615039,123|2,0,0</v>
      </c>
      <c r="C123" t="str">
        <f>CONCATENATE(615270,",",ROW(BCTCR_06608!C123),"|",COLUMN(BCTCR_06608!C123),",0",",0")</f>
        <v>615270,123|3,0,0</v>
      </c>
      <c r="D123" t="str">
        <f>CONCATENATE(614853,",",ROW(BCTCR_06608!D123),"|",COLUMN(BCTCR_06608!D123),",0",",0")</f>
        <v>614853,123|4,0,0</v>
      </c>
      <c r="E123" t="str">
        <f>CONCATENATE(614772,",",ROW(BCTCR_06608!E123),"|",COLUMN(BCTCR_06608!E123),",0",",0")</f>
        <v>614772,123|5,0,0</v>
      </c>
    </row>
    <row r="124" spans="1:5" x14ac:dyDescent="0.25">
      <c r="A124" t="str">
        <f>CONCATENATE(615003,",",ROW(BCTCR_06608!A124),"|",COLUMN(BCTCR_06608!A124),",0",",0")</f>
        <v>615003,124|1,0,0</v>
      </c>
      <c r="B124" t="str">
        <f>CONCATENATE(614757,",",ROW(BCTCR_06608!B124),"|",COLUMN(BCTCR_06608!B124),",0",",0")</f>
        <v>614757,124|2,0,0</v>
      </c>
      <c r="C124" t="str">
        <f>CONCATENATE(615271,",",ROW(BCTCR_06608!C124),"|",COLUMN(BCTCR_06608!C124),",0",",0")</f>
        <v>615271,124|3,0,0</v>
      </c>
      <c r="D124" t="str">
        <f>CONCATENATE(614854,",",ROW(BCTCR_06608!D124),"|",COLUMN(BCTCR_06608!D124),",0",",0")</f>
        <v>614854,124|4,0,0</v>
      </c>
      <c r="E124" t="str">
        <f>CONCATENATE(614773,",",ROW(BCTCR_06608!E124),"|",COLUMN(BCTCR_06608!E124),",0",",0")</f>
        <v>614773,124|5,0,0</v>
      </c>
    </row>
    <row r="125" spans="1:5" x14ac:dyDescent="0.25">
      <c r="A125" t="str">
        <f>CONCATENATE(615131,",",ROW(BCTCR_06608!A125),"|",COLUMN(BCTCR_06608!A125),",0",",0")</f>
        <v>615131,125|1,0,0</v>
      </c>
      <c r="B125" t="str">
        <f>CONCATENATE(615091,",",ROW(BCTCR_06608!B125),"|",COLUMN(BCTCR_06608!B125),",0",",0")</f>
        <v>615091,125|2,0,0</v>
      </c>
      <c r="C125" t="str">
        <f>CONCATENATE(615129,",",ROW(BCTCR_06608!C125),"|",COLUMN(BCTCR_06608!C125),",0",",0")</f>
        <v>615129,125|3,0,0</v>
      </c>
      <c r="D125" t="str">
        <f>CONCATENATE(615084,",",ROW(BCTCR_06608!D125),"|",COLUMN(BCTCR_06608!D125),",0",",0")</f>
        <v>615084,125|4,0,0</v>
      </c>
      <c r="E125" t="str">
        <f>CONCATENATE(614938,",",ROW(BCTCR_06608!E125),"|",COLUMN(BCTCR_06608!E125),",0",",0")</f>
        <v>614938,125|5,0,0</v>
      </c>
    </row>
    <row r="126" spans="1:5" x14ac:dyDescent="0.25">
      <c r="A126" t="str">
        <f>CONCATENATE(615004,",",ROW(BCTCR_06608!A126),"|",COLUMN(BCTCR_06608!A126),",0",",0")</f>
        <v>615004,126|1,0,0</v>
      </c>
      <c r="B126" t="str">
        <f>CONCATENATE(615040,",",ROW(BCTCR_06608!B126),"|",COLUMN(BCTCR_06608!B126),",0",",0")</f>
        <v>615040,126|2,0,0</v>
      </c>
      <c r="C126" t="str">
        <f>CONCATENATE(615272,",",ROW(BCTCR_06608!C126),"|",COLUMN(BCTCR_06608!C126),",0",",0")</f>
        <v>615272,126|3,0,0</v>
      </c>
      <c r="D126" t="str">
        <f>CONCATENATE(614855,",",ROW(BCTCR_06608!D126),"|",COLUMN(BCTCR_06608!D126),",0",",0")</f>
        <v>614855,126|4,0,0</v>
      </c>
      <c r="E126" t="str">
        <f>CONCATENATE(614774,",",ROW(BCTCR_06608!E126),"|",COLUMN(BCTCR_06608!E126),",0",",0")</f>
        <v>614774,126|5,0,0</v>
      </c>
    </row>
    <row r="127" spans="1:5" x14ac:dyDescent="0.25">
      <c r="A127" t="str">
        <f>CONCATENATE(614971,",",ROW(BCTCR_06608!A127),"|",COLUMN(BCTCR_06608!A127),",0",",0")</f>
        <v>614971,127|1,0,0</v>
      </c>
      <c r="B127" t="str">
        <f>CONCATENATE(615041,",",ROW(BCTCR_06608!B127),"|",COLUMN(BCTCR_06608!B127),",0",",0")</f>
        <v>615041,127|2,0,0</v>
      </c>
      <c r="C127" t="str">
        <f>CONCATENATE(615273,",",ROW(BCTCR_06608!C127),"|",COLUMN(BCTCR_06608!C127),",0",",0")</f>
        <v>615273,127|3,0,0</v>
      </c>
      <c r="D127" t="str">
        <f>CONCATENATE(614856,",",ROW(BCTCR_06608!D127),"|",COLUMN(BCTCR_06608!D127),",0",",0")</f>
        <v>614856,127|4,0,0</v>
      </c>
      <c r="E127" t="str">
        <f>CONCATENATE(614775,",",ROW(BCTCR_06608!E127),"|",COLUMN(BCTCR_06608!E127),",0",",0")</f>
        <v>614775,127|5,0,0</v>
      </c>
    </row>
    <row r="128" spans="1:5" x14ac:dyDescent="0.25">
      <c r="A128" t="str">
        <f>CONCATENATE(614675,",",ROW(BCTCR_06608!A128),"|",COLUMN(BCTCR_06608!A128),",0",",0")</f>
        <v>614675,128|1,0,0</v>
      </c>
      <c r="B128" t="str">
        <f>CONCATENATE(615162,",",ROW(BCTCR_06608!B128),"|",COLUMN(BCTCR_06608!B128),",0",",0")</f>
        <v>615162,128|2,0,0</v>
      </c>
      <c r="C128" t="str">
        <f>CONCATENATE(615274,",",ROW(BCTCR_06608!C128),"|",COLUMN(BCTCR_06608!C128),",0",",0")</f>
        <v>615274,128|3,0,0</v>
      </c>
      <c r="D128" t="str">
        <f>CONCATENATE(614857,",",ROW(BCTCR_06608!D128),"|",COLUMN(BCTCR_06608!D128),",0",",0")</f>
        <v>614857,128|4,0,0</v>
      </c>
      <c r="E128" t="str">
        <f>CONCATENATE(614776,",",ROW(BCTCR_06608!E128),"|",COLUMN(BCTCR_06608!E128),",0",",0")</f>
        <v>614776,128|5,0,0</v>
      </c>
    </row>
    <row r="129" spans="1:5" x14ac:dyDescent="0.25">
      <c r="A129" t="str">
        <f>CONCATENATE(615005,",",ROW(BCTCR_06608!A129),"|",COLUMN(BCTCR_06608!A129),",0",",0")</f>
        <v>615005,129|1,0,0</v>
      </c>
      <c r="B129" t="str">
        <f>CONCATENATE(614888,",",ROW(BCTCR_06608!B129),"|",COLUMN(BCTCR_06608!B129),",0",",0")</f>
        <v>614888,129|2,0,0</v>
      </c>
      <c r="C129" t="str">
        <f>CONCATENATE(615275,",",ROW(BCTCR_06608!C129),"|",COLUMN(BCTCR_06608!C129),",0",",0")</f>
        <v>615275,129|3,0,0</v>
      </c>
      <c r="D129" t="str">
        <f>CONCATENATE(614858,",",ROW(BCTCR_06608!D129),"|",COLUMN(BCTCR_06608!D129),",0",",0")</f>
        <v>614858,129|4,0,0</v>
      </c>
      <c r="E129" t="str">
        <f>CONCATENATE(614777,",",ROW(BCTCR_06608!E129),"|",COLUMN(BCTCR_06608!E129),",0",",0")</f>
        <v>614777,129|5,0,0</v>
      </c>
    </row>
    <row r="130" spans="1:5" x14ac:dyDescent="0.25">
      <c r="A130" t="str">
        <f>CONCATENATE(615132,",",ROW(BCTCR_06608!A130),"|",COLUMN(BCTCR_06608!A130),",0",",0")</f>
        <v>615132,130|1,0,0</v>
      </c>
      <c r="B130" t="str">
        <f>CONCATENATE(615163,",",ROW(BCTCR_06608!B130),"|",COLUMN(BCTCR_06608!B130),",0",",0")</f>
        <v>615163,130|2,0,0</v>
      </c>
      <c r="C130" t="str">
        <f>CONCATENATE(615130,",",ROW(BCTCR_06608!C130),"|",COLUMN(BCTCR_06608!C130),",0",",0")</f>
        <v>615130,130|3,0,0</v>
      </c>
      <c r="D130" t="str">
        <f>CONCATENATE(615085,",",ROW(BCTCR_06608!D130),"|",COLUMN(BCTCR_06608!D130),",0",",0")</f>
        <v>615085,130|4,0,0</v>
      </c>
      <c r="E130" t="str">
        <f>CONCATENATE(614939,",",ROW(BCTCR_06608!E130),"|",COLUMN(BCTCR_06608!E130),",0",",0")</f>
        <v>614939,130|5,0,0</v>
      </c>
    </row>
    <row r="131" spans="1:5" x14ac:dyDescent="0.25">
      <c r="A131" t="str">
        <f>CONCATENATE(614972,",",ROW(BCTCR_06608!A131),"|",COLUMN(BCTCR_06608!A131),",0",",0")</f>
        <v>614972,131|1,0,0</v>
      </c>
      <c r="B131" t="str">
        <f>CONCATENATE(614889,",",ROW(BCTCR_06608!B131),"|",COLUMN(BCTCR_06608!B131),",0",",0")</f>
        <v>614889,131|2,0,0</v>
      </c>
      <c r="C131" t="str">
        <f>CONCATENATE(615276,",",ROW(BCTCR_06608!C131),"|",COLUMN(BCTCR_06608!C131),",0",",0")</f>
        <v>615276,131|3,0,0</v>
      </c>
      <c r="D131" t="str">
        <f>CONCATENATE(614859,",",ROW(BCTCR_06608!D131),"|",COLUMN(BCTCR_06608!D131),",0",",0")</f>
        <v>614859,131|4,0,0</v>
      </c>
      <c r="E131" t="str">
        <f>CONCATENATE(614778,",",ROW(BCTCR_06608!E131),"|",COLUMN(BCTCR_06608!E131),",0",",0")</f>
        <v>614778,131|5,0,0</v>
      </c>
    </row>
    <row r="132" spans="1:5" x14ac:dyDescent="0.25">
      <c r="A132" t="str">
        <f>CONCATENATE(615006,",",ROW(BCTCR_06608!A132),"|",COLUMN(BCTCR_06608!A132),",0",",0")</f>
        <v>615006,132|1,0,0</v>
      </c>
      <c r="B132" t="str">
        <f>CONCATENATE(614892,",",ROW(BCTCR_06608!B132),"|",COLUMN(BCTCR_06608!B132),",0",",0")</f>
        <v>614892,132|2,0,0</v>
      </c>
      <c r="C132" t="str">
        <f>CONCATENATE(615277,",",ROW(BCTCR_06608!C132),"|",COLUMN(BCTCR_06608!C132),",0",",0")</f>
        <v>615277,132|3,0,0</v>
      </c>
      <c r="D132" t="str">
        <f>CONCATENATE(614860,",",ROW(BCTCR_06608!D132),"|",COLUMN(BCTCR_06608!D132),",0",",0")</f>
        <v>614860,132|4,0,0</v>
      </c>
      <c r="E132" t="str">
        <f>CONCATENATE(615051,",",ROW(BCTCR_06608!E132),"|",COLUMN(BCTCR_06608!E132),",0",",0")</f>
        <v>615051,132|5,0,0</v>
      </c>
    </row>
    <row r="133" spans="1:5" x14ac:dyDescent="0.25">
      <c r="A133" t="str">
        <f>CONCATENATE(614676,",",ROW(BCTCR_06608!A133),"|",COLUMN(BCTCR_06608!A133),",0",",0")</f>
        <v>614676,133|1,0,0</v>
      </c>
      <c r="B133" t="str">
        <f>CONCATENATE(614890,",",ROW(BCTCR_06608!B133),"|",COLUMN(BCTCR_06608!B133),",0",",0")</f>
        <v>614890,133|2,0,0</v>
      </c>
      <c r="C133" t="str">
        <f>CONCATENATE(615278,",",ROW(BCTCR_06608!C133),"|",COLUMN(BCTCR_06608!C133),",0",",0")</f>
        <v>615278,133|3,0,0</v>
      </c>
      <c r="D133" t="str">
        <f>CONCATENATE(614861,",",ROW(BCTCR_06608!D133),"|",COLUMN(BCTCR_06608!D133),",0",",0")</f>
        <v>614861,133|4,0,0</v>
      </c>
      <c r="E133" t="str">
        <f>CONCATENATE(615164,",",ROW(BCTCR_06608!E133),"|",COLUMN(BCTCR_06608!E133),",0",",0")</f>
        <v>615164,133|5,0,0</v>
      </c>
    </row>
    <row r="134" spans="1:5" x14ac:dyDescent="0.25">
      <c r="A134" t="str">
        <f>CONCATENATE(615007,",",ROW(BCTCR_06608!A134),"|",COLUMN(BCTCR_06608!A134),",0",",0")</f>
        <v>615007,134|1,0,0</v>
      </c>
      <c r="B134" t="str">
        <f>CONCATENATE(614893,",",ROW(BCTCR_06608!B134),"|",COLUMN(BCTCR_06608!B134),",0",",0")</f>
        <v>614893,134|2,0,0</v>
      </c>
      <c r="C134" t="str">
        <f>CONCATENATE(615279,",",ROW(BCTCR_06608!C134),"|",COLUMN(BCTCR_06608!C134),",0",",0")</f>
        <v>615279,134|3,0,0</v>
      </c>
      <c r="D134" t="str">
        <f>CONCATENATE(615045,",",ROW(BCTCR_06608!D134),"|",COLUMN(BCTCR_06608!D134),",0",",0")</f>
        <v>615045,134|4,0,0</v>
      </c>
      <c r="E134" t="str">
        <f>CONCATENATE(615165,",",ROW(BCTCR_06608!E134),"|",COLUMN(BCTCR_06608!E134),",0",",0")</f>
        <v>615165,134|5,0,0</v>
      </c>
    </row>
    <row r="135" spans="1:5" x14ac:dyDescent="0.25">
      <c r="A135" t="str">
        <f>CONCATENATE(614973,",",ROW(BCTCR_06608!A135),"|",COLUMN(BCTCR_06608!A135),",0",",0")</f>
        <v>614973,135|1,0,0</v>
      </c>
      <c r="B135" t="str">
        <f>CONCATENATE(614657,",",ROW(BCTCR_06608!B135),"|",COLUMN(BCTCR_06608!B135),",0",",0")</f>
        <v>614657,135|2,0,0</v>
      </c>
      <c r="C135" t="str">
        <f>CONCATENATE(615280,",",ROW(BCTCR_06608!C135),"|",COLUMN(BCTCR_06608!C135),",0",",0")</f>
        <v>615280,135|3,0,0</v>
      </c>
      <c r="D135" t="str">
        <f>CONCATENATE(615046,",",ROW(BCTCR_06608!D135),"|",COLUMN(BCTCR_06608!D135),",0",",0")</f>
        <v>615046,135|4,0,0</v>
      </c>
      <c r="E135" t="str">
        <f>CONCATENATE(615166,",",ROW(BCTCR_06608!E135),"|",COLUMN(BCTCR_06608!E135),",0",",0")</f>
        <v>615166,135|5,0,0</v>
      </c>
    </row>
    <row r="136" spans="1:5" x14ac:dyDescent="0.25">
      <c r="A136" t="str">
        <f>CONCATENATE(615255,",",ROW(BCTCR_06608!A136),"|",COLUMN(BCTCR_06608!A136),",0",",0")</f>
        <v>615255,136|1,0,0</v>
      </c>
      <c r="B136" t="str">
        <f>CONCATENATE(614703,",",ROW(BCTCR_06608!B136),"|",COLUMN(BCTCR_06608!B136),",0",",0")</f>
        <v>614703,136|2,0,0</v>
      </c>
      <c r="C136" t="str">
        <f>CONCATENATE(615281,",",ROW(BCTCR_06608!C136),"|",COLUMN(BCTCR_06608!C136),",0",",0")</f>
        <v>615281,136|3,0,0</v>
      </c>
      <c r="D136" t="str">
        <f>CONCATENATE(615047,",",ROW(BCTCR_06608!D136),"|",COLUMN(BCTCR_06608!D136),",0",",0")</f>
        <v>615047,136|4,0,0</v>
      </c>
      <c r="E136" t="str">
        <f>CONCATENATE(615167,",",ROW(BCTCR_06608!E136),"|",COLUMN(BCTCR_06608!E136),",0",",0")</f>
        <v>615167,136|5,0,0</v>
      </c>
    </row>
    <row r="137" spans="1:5" x14ac:dyDescent="0.25">
      <c r="A137" t="str">
        <f>CONCATENATE(615221,",",ROW(BCTCR_06608!A137),"|",COLUMN(BCTCR_06608!A137),",0",",0")</f>
        <v>615221,137|1,0,0</v>
      </c>
      <c r="B137" t="str">
        <f>CONCATENATE(614918,",",ROW(BCTCR_06608!B137),"|",COLUMN(BCTCR_06608!B137),",0",",0")</f>
        <v>614918,137|2,0,0</v>
      </c>
      <c r="C137" t="str">
        <f>CONCATENATE(614916,",",ROW(BCTCR_06608!C137),"|",COLUMN(BCTCR_06608!C137),",0",",0")</f>
        <v>614916,137|3,0,0</v>
      </c>
      <c r="D137" t="str">
        <f>CONCATENATE(615224,",",ROW(BCTCR_06608!D137),"|",COLUMN(BCTCR_06608!D137),",0",",0")</f>
        <v>615224,137|4,0,0</v>
      </c>
      <c r="E137" t="str">
        <f>CONCATENATE(614917,",",ROW(BCTCR_06608!E137),"|",COLUMN(BCTCR_06608!E137),",0",",0")</f>
        <v>614917,137|5,0,0</v>
      </c>
    </row>
  </sheetData>
  <sheetProtection password="CB7D"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43" workbookViewId="0">
      <selection activeCell="D47" sqref="D47:E47"/>
    </sheetView>
  </sheetViews>
  <sheetFormatPr defaultRowHeight="15" x14ac:dyDescent="0.25"/>
  <cols>
    <col min="1" max="1" width="31.28515625" bestFit="1" customWidth="1"/>
    <col min="2" max="2" width="6.7109375" customWidth="1"/>
    <col min="3" max="3" width="7.5703125" customWidth="1"/>
    <col min="4" max="4" width="21.42578125" customWidth="1"/>
    <col min="5" max="5" width="22" customWidth="1"/>
  </cols>
  <sheetData>
    <row r="1" spans="1:5" ht="20.25" x14ac:dyDescent="0.3">
      <c r="A1" s="2213" t="s">
        <v>10</v>
      </c>
      <c r="B1" s="2213" t="s">
        <v>5</v>
      </c>
      <c r="C1" s="2213" t="s">
        <v>5</v>
      </c>
      <c r="D1" s="2213" t="s">
        <v>5</v>
      </c>
      <c r="E1" s="2213" t="s">
        <v>5</v>
      </c>
    </row>
    <row r="2" spans="1:5" ht="56.25" x14ac:dyDescent="0.25">
      <c r="A2" s="436" t="s">
        <v>31</v>
      </c>
      <c r="B2" s="436" t="s">
        <v>32</v>
      </c>
      <c r="C2" s="436" t="s">
        <v>33</v>
      </c>
      <c r="D2" s="436" t="s">
        <v>34</v>
      </c>
      <c r="E2" s="436" t="s">
        <v>35</v>
      </c>
    </row>
    <row r="3" spans="1:5" ht="16.5" x14ac:dyDescent="0.25">
      <c r="A3" s="526" t="s">
        <v>348</v>
      </c>
      <c r="B3" s="475" t="s">
        <v>113</v>
      </c>
      <c r="C3" s="508" t="s">
        <v>80</v>
      </c>
      <c r="D3" s="513" t="s">
        <v>222</v>
      </c>
      <c r="E3" s="514" t="s">
        <v>336</v>
      </c>
    </row>
    <row r="4" spans="1:5" ht="66" x14ac:dyDescent="0.25">
      <c r="A4" s="530" t="s">
        <v>352</v>
      </c>
      <c r="B4" s="435" t="s">
        <v>5</v>
      </c>
      <c r="C4" s="444"/>
      <c r="D4" s="583" t="s">
        <v>5</v>
      </c>
      <c r="E4" s="542" t="s">
        <v>5</v>
      </c>
    </row>
    <row r="5" spans="1:5" ht="33" x14ac:dyDescent="0.25">
      <c r="A5" s="483" t="s">
        <v>309</v>
      </c>
      <c r="B5" s="576" t="s">
        <v>222</v>
      </c>
      <c r="C5" s="564"/>
      <c r="D5" s="534"/>
      <c r="E5" s="586"/>
    </row>
    <row r="6" spans="1:5" ht="49.5" x14ac:dyDescent="0.25">
      <c r="A6" s="540" t="s">
        <v>359</v>
      </c>
      <c r="B6" s="477" t="s">
        <v>81</v>
      </c>
      <c r="C6" s="451"/>
      <c r="D6" s="591"/>
      <c r="E6" s="545"/>
    </row>
    <row r="7" spans="1:5" ht="33" x14ac:dyDescent="0.25">
      <c r="A7" s="476" t="s">
        <v>303</v>
      </c>
      <c r="B7" s="577" t="s">
        <v>377</v>
      </c>
      <c r="C7" s="565"/>
      <c r="D7" s="535"/>
      <c r="E7" s="587"/>
    </row>
    <row r="8" spans="1:5" ht="33" x14ac:dyDescent="0.25">
      <c r="A8" s="541" t="s">
        <v>360</v>
      </c>
      <c r="B8" s="578" t="s">
        <v>378</v>
      </c>
      <c r="C8" s="566"/>
      <c r="D8" s="536"/>
      <c r="E8" s="588"/>
    </row>
    <row r="9" spans="1:5" ht="33" x14ac:dyDescent="0.25">
      <c r="A9" s="547" t="s">
        <v>361</v>
      </c>
      <c r="B9" s="501" t="s">
        <v>325</v>
      </c>
      <c r="C9" s="452"/>
      <c r="D9" s="592"/>
      <c r="E9" s="546"/>
    </row>
    <row r="10" spans="1:5" ht="33" x14ac:dyDescent="0.25">
      <c r="A10" s="531" t="s">
        <v>353</v>
      </c>
      <c r="B10" s="581" t="s">
        <v>381</v>
      </c>
      <c r="C10" s="445"/>
      <c r="D10" s="589"/>
      <c r="E10" s="543"/>
    </row>
    <row r="11" spans="1:5" ht="33" x14ac:dyDescent="0.25">
      <c r="A11" s="511" t="s">
        <v>334</v>
      </c>
      <c r="B11" s="582" t="s">
        <v>382</v>
      </c>
      <c r="C11" s="453"/>
      <c r="D11" s="498"/>
      <c r="E11" s="500"/>
    </row>
    <row r="12" spans="1:5" ht="66" x14ac:dyDescent="0.25">
      <c r="A12" s="484" t="s">
        <v>310</v>
      </c>
      <c r="B12" s="502" t="s">
        <v>326</v>
      </c>
      <c r="C12" s="454"/>
      <c r="D12" s="1723">
        <v>10404680000</v>
      </c>
      <c r="E12" s="1724">
        <v>14408280000</v>
      </c>
    </row>
    <row r="13" spans="1:5" ht="66" x14ac:dyDescent="0.25">
      <c r="A13" s="515" t="s">
        <v>337</v>
      </c>
      <c r="B13" s="489" t="s">
        <v>315</v>
      </c>
      <c r="C13" s="455"/>
      <c r="D13" s="1725"/>
      <c r="E13" s="1726"/>
    </row>
    <row r="14" spans="1:5" ht="49.5" x14ac:dyDescent="0.25">
      <c r="A14" s="548" t="s">
        <v>362</v>
      </c>
      <c r="B14" s="579" t="s">
        <v>379</v>
      </c>
      <c r="C14" s="567"/>
      <c r="D14" s="1727"/>
      <c r="E14" s="1728"/>
    </row>
    <row r="15" spans="1:5" ht="49.5" x14ac:dyDescent="0.25">
      <c r="A15" s="532" t="s">
        <v>354</v>
      </c>
      <c r="B15" s="468" t="s">
        <v>296</v>
      </c>
      <c r="C15" s="446"/>
      <c r="D15" s="1729"/>
      <c r="E15" s="1730"/>
    </row>
    <row r="16" spans="1:5" ht="49.5" x14ac:dyDescent="0.25">
      <c r="A16" s="485" t="s">
        <v>311</v>
      </c>
      <c r="B16" s="503" t="s">
        <v>327</v>
      </c>
      <c r="C16" s="456"/>
      <c r="D16" s="1731">
        <v>70525760000</v>
      </c>
      <c r="E16" s="1732">
        <v>70525760000</v>
      </c>
    </row>
    <row r="17" spans="1:5" ht="49.5" x14ac:dyDescent="0.25">
      <c r="A17" s="527" t="s">
        <v>349</v>
      </c>
      <c r="B17" s="504" t="s">
        <v>328</v>
      </c>
      <c r="C17" s="457"/>
      <c r="D17" s="1733"/>
      <c r="E17" s="1734"/>
    </row>
    <row r="18" spans="1:5" ht="82.5" x14ac:dyDescent="0.25">
      <c r="A18" s="533" t="s">
        <v>355</v>
      </c>
      <c r="B18" s="435" t="s">
        <v>5</v>
      </c>
      <c r="C18" s="447"/>
      <c r="D18" s="590"/>
      <c r="E18" s="544"/>
    </row>
    <row r="19" spans="1:5" ht="66" x14ac:dyDescent="0.25">
      <c r="A19" s="486" t="s">
        <v>312</v>
      </c>
      <c r="B19" s="580" t="s">
        <v>380</v>
      </c>
      <c r="C19" s="568"/>
      <c r="D19" s="1735">
        <v>1911396530000</v>
      </c>
      <c r="E19" s="1736">
        <v>1769168380000</v>
      </c>
    </row>
    <row r="20" spans="1:5" ht="49.5" x14ac:dyDescent="0.25">
      <c r="A20" s="528" t="s">
        <v>350</v>
      </c>
      <c r="B20" s="490" t="s">
        <v>316</v>
      </c>
      <c r="C20" s="458"/>
      <c r="D20" s="1737">
        <v>1885417710000</v>
      </c>
      <c r="E20" s="1738">
        <v>1688237750000</v>
      </c>
    </row>
    <row r="21" spans="1:5" ht="49.5" x14ac:dyDescent="0.25">
      <c r="A21" s="549" t="s">
        <v>363</v>
      </c>
      <c r="B21" s="516" t="s">
        <v>338</v>
      </c>
      <c r="C21" s="569"/>
      <c r="D21" s="1739"/>
      <c r="E21" s="1740"/>
    </row>
    <row r="22" spans="1:5" ht="49.5" x14ac:dyDescent="0.25">
      <c r="A22" s="529" t="s">
        <v>351</v>
      </c>
      <c r="B22" s="517" t="s">
        <v>339</v>
      </c>
      <c r="C22" s="437"/>
      <c r="D22" s="1741"/>
      <c r="E22" s="1742">
        <v>3388140000</v>
      </c>
    </row>
    <row r="23" spans="1:5" ht="49.5" x14ac:dyDescent="0.25">
      <c r="A23" s="512" t="s">
        <v>335</v>
      </c>
      <c r="B23" s="505" t="s">
        <v>329</v>
      </c>
      <c r="C23" s="459"/>
      <c r="D23" s="1743">
        <v>11791340000</v>
      </c>
      <c r="E23" s="1744">
        <v>17536630000</v>
      </c>
    </row>
    <row r="24" spans="1:5" ht="49.5" x14ac:dyDescent="0.25">
      <c r="A24" s="509" t="s">
        <v>332</v>
      </c>
      <c r="B24" s="518" t="s">
        <v>340</v>
      </c>
      <c r="C24" s="438"/>
      <c r="D24" s="1745">
        <v>14187480000</v>
      </c>
      <c r="E24" s="1746">
        <v>60005860000</v>
      </c>
    </row>
    <row r="25" spans="1:5" ht="49.5" x14ac:dyDescent="0.25">
      <c r="A25" s="537" t="s">
        <v>356</v>
      </c>
      <c r="B25" s="519" t="s">
        <v>341</v>
      </c>
      <c r="C25" s="439"/>
      <c r="D25" s="1747"/>
      <c r="E25" s="1748"/>
    </row>
    <row r="26" spans="1:5" ht="66" x14ac:dyDescent="0.25">
      <c r="A26" s="538" t="s">
        <v>357</v>
      </c>
      <c r="B26" s="491" t="s">
        <v>317</v>
      </c>
      <c r="C26" s="460"/>
      <c r="D26" s="1749">
        <v>6833720000</v>
      </c>
      <c r="E26" s="1750">
        <v>3256770000</v>
      </c>
    </row>
    <row r="27" spans="1:5" ht="66" x14ac:dyDescent="0.25">
      <c r="A27" s="539" t="s">
        <v>358</v>
      </c>
      <c r="B27" s="492" t="s">
        <v>318</v>
      </c>
      <c r="C27" s="461"/>
      <c r="D27" s="1751">
        <v>2774210000</v>
      </c>
      <c r="E27" s="1752">
        <v>2873180000</v>
      </c>
    </row>
    <row r="28" spans="1:5" ht="66" x14ac:dyDescent="0.25">
      <c r="A28" s="487" t="s">
        <v>313</v>
      </c>
      <c r="B28" s="520" t="s">
        <v>342</v>
      </c>
      <c r="C28" s="440"/>
      <c r="D28" s="1753">
        <v>1070000000</v>
      </c>
      <c r="E28" s="1754">
        <v>840000</v>
      </c>
    </row>
    <row r="29" spans="1:5" ht="66" x14ac:dyDescent="0.25">
      <c r="A29" s="495" t="s">
        <v>321</v>
      </c>
      <c r="B29" s="469" t="s">
        <v>297</v>
      </c>
      <c r="C29" s="462"/>
      <c r="D29" s="1755"/>
      <c r="E29" s="1756"/>
    </row>
    <row r="30" spans="1:5" ht="66" x14ac:dyDescent="0.25">
      <c r="A30" s="496" t="s">
        <v>322</v>
      </c>
      <c r="B30" s="470" t="s">
        <v>298</v>
      </c>
      <c r="C30" s="463"/>
      <c r="D30" s="1757">
        <v>2989510000</v>
      </c>
      <c r="E30" s="1758">
        <v>382750000</v>
      </c>
    </row>
    <row r="31" spans="1:5" ht="49.5" x14ac:dyDescent="0.25">
      <c r="A31" s="497" t="s">
        <v>323</v>
      </c>
      <c r="B31" s="521" t="s">
        <v>343</v>
      </c>
      <c r="C31" s="441"/>
      <c r="D31" s="1759"/>
      <c r="E31" s="1760"/>
    </row>
    <row r="32" spans="1:5" ht="49.5" x14ac:dyDescent="0.25">
      <c r="A32" s="550" t="s">
        <v>364</v>
      </c>
      <c r="B32" s="493" t="s">
        <v>319</v>
      </c>
      <c r="C32" s="464"/>
      <c r="D32" s="1761"/>
      <c r="E32" s="1762"/>
    </row>
    <row r="33" spans="1:5" ht="49.5" x14ac:dyDescent="0.25">
      <c r="A33" s="551" t="s">
        <v>365</v>
      </c>
      <c r="B33" s="522" t="s">
        <v>344</v>
      </c>
      <c r="C33" s="584"/>
      <c r="D33" s="1763"/>
      <c r="E33" s="1764"/>
    </row>
    <row r="34" spans="1:5" ht="49.5" x14ac:dyDescent="0.25">
      <c r="A34" s="552" t="s">
        <v>366</v>
      </c>
      <c r="B34" s="478" t="s">
        <v>304</v>
      </c>
      <c r="C34" s="465"/>
      <c r="D34" s="1765"/>
      <c r="E34" s="1766"/>
    </row>
    <row r="35" spans="1:5" ht="33" x14ac:dyDescent="0.25">
      <c r="A35" s="553" t="s">
        <v>367</v>
      </c>
      <c r="B35" s="523" t="s">
        <v>345</v>
      </c>
      <c r="C35" s="585"/>
      <c r="D35" s="1767">
        <v>145844408777</v>
      </c>
      <c r="E35" s="1768">
        <v>453499979999</v>
      </c>
    </row>
    <row r="36" spans="1:5" ht="66" x14ac:dyDescent="0.25">
      <c r="A36" s="554" t="s">
        <v>368</v>
      </c>
      <c r="B36" s="479" t="s">
        <v>305</v>
      </c>
      <c r="C36" s="466"/>
      <c r="D36" s="1769">
        <v>123472297970</v>
      </c>
      <c r="E36" s="1770">
        <v>270700238812</v>
      </c>
    </row>
    <row r="37" spans="1:5" ht="66" x14ac:dyDescent="0.25">
      <c r="A37" s="555" t="s">
        <v>369</v>
      </c>
      <c r="B37" s="480" t="s">
        <v>306</v>
      </c>
      <c r="C37" s="448"/>
      <c r="D37" s="1771">
        <v>21268325160</v>
      </c>
      <c r="E37" s="1772">
        <v>181647819831</v>
      </c>
    </row>
    <row r="38" spans="1:5" ht="49.5" x14ac:dyDescent="0.25">
      <c r="A38" s="467" t="s">
        <v>295</v>
      </c>
      <c r="B38" s="494" t="s">
        <v>320</v>
      </c>
      <c r="C38" s="557"/>
      <c r="D38" s="1773">
        <v>2005996</v>
      </c>
      <c r="E38" s="1774">
        <v>2123270</v>
      </c>
    </row>
    <row r="39" spans="1:5" ht="66" x14ac:dyDescent="0.25">
      <c r="A39" s="499" t="s">
        <v>324</v>
      </c>
      <c r="B39" s="510" t="s">
        <v>333</v>
      </c>
      <c r="C39" s="449"/>
      <c r="D39" s="1775">
        <v>1000000</v>
      </c>
      <c r="E39" s="1776">
        <v>1000000</v>
      </c>
    </row>
    <row r="40" spans="1:5" ht="66" x14ac:dyDescent="0.25">
      <c r="A40" s="570" t="s">
        <v>371</v>
      </c>
      <c r="B40" s="471" t="s">
        <v>299</v>
      </c>
      <c r="C40" s="558"/>
      <c r="D40" s="1777">
        <v>1005996</v>
      </c>
      <c r="E40" s="1778">
        <v>1123270</v>
      </c>
    </row>
    <row r="41" spans="1:5" ht="49.5" x14ac:dyDescent="0.25">
      <c r="A41" s="571" t="s">
        <v>372</v>
      </c>
      <c r="B41" s="473" t="s">
        <v>301</v>
      </c>
      <c r="C41" s="559"/>
      <c r="D41" s="1779">
        <v>1101779651</v>
      </c>
      <c r="E41" s="1780">
        <v>1149798086</v>
      </c>
    </row>
    <row r="42" spans="1:5" ht="82.5" x14ac:dyDescent="0.25">
      <c r="A42" s="488" t="s">
        <v>314</v>
      </c>
      <c r="B42" s="524" t="s">
        <v>346</v>
      </c>
      <c r="C42" s="442"/>
      <c r="D42" s="1781">
        <v>144742629126</v>
      </c>
      <c r="E42" s="1782">
        <v>452350181913</v>
      </c>
    </row>
    <row r="43" spans="1:5" ht="82.5" x14ac:dyDescent="0.25">
      <c r="A43" s="572" t="s">
        <v>373</v>
      </c>
      <c r="B43" s="474" t="s">
        <v>302</v>
      </c>
      <c r="C43" s="560"/>
      <c r="D43" s="1783">
        <v>144318917023</v>
      </c>
      <c r="E43" s="1784">
        <v>451965694405</v>
      </c>
    </row>
    <row r="44" spans="1:5" ht="82.5" x14ac:dyDescent="0.25">
      <c r="A44" s="573" t="s">
        <v>374</v>
      </c>
      <c r="B44" s="481" t="s">
        <v>307</v>
      </c>
      <c r="C44" s="561"/>
      <c r="D44" s="1785">
        <v>423712103</v>
      </c>
      <c r="E44" s="1786">
        <v>384487508</v>
      </c>
    </row>
    <row r="45" spans="1:5" ht="49.5" x14ac:dyDescent="0.25">
      <c r="A45" s="556" t="s">
        <v>370</v>
      </c>
      <c r="B45" s="482" t="s">
        <v>308</v>
      </c>
      <c r="C45" s="450"/>
      <c r="D45" s="1787"/>
      <c r="E45" s="1788"/>
    </row>
    <row r="46" spans="1:5" ht="66" x14ac:dyDescent="0.25">
      <c r="A46" s="574" t="s">
        <v>375</v>
      </c>
      <c r="B46" s="506" t="s">
        <v>330</v>
      </c>
      <c r="C46" s="562"/>
      <c r="D46" s="1789"/>
      <c r="E46" s="1790"/>
    </row>
    <row r="47" spans="1:5" ht="66" x14ac:dyDescent="0.25">
      <c r="A47" s="472" t="s">
        <v>300</v>
      </c>
      <c r="B47" s="525" t="s">
        <v>347</v>
      </c>
      <c r="C47" s="443"/>
      <c r="D47" s="1791"/>
      <c r="E47" s="1792"/>
    </row>
    <row r="48" spans="1:5" ht="49.5" x14ac:dyDescent="0.25">
      <c r="A48" s="575" t="s">
        <v>376</v>
      </c>
      <c r="B48" s="507" t="s">
        <v>331</v>
      </c>
      <c r="C48" s="563"/>
      <c r="D48" s="1793">
        <v>1101779651</v>
      </c>
      <c r="E48" s="1794">
        <v>1149798086</v>
      </c>
    </row>
  </sheetData>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8"/>
  <sheetViews>
    <sheetView workbookViewId="0"/>
  </sheetViews>
  <sheetFormatPr defaultRowHeight="15" x14ac:dyDescent="0.25"/>
  <cols>
    <col min="1" max="1" width="1" style="593" bestFit="1" customWidth="1"/>
    <col min="2" max="5" width="1" bestFit="1" customWidth="1"/>
  </cols>
  <sheetData>
    <row r="3" spans="1:5" x14ac:dyDescent="0.25">
      <c r="A3" t="str">
        <f>CONCATENATE(613681,",",ROW(CCTTCR_06609!A3),"|",COLUMN(CCTTCR_06609!A3),",0",",0")</f>
        <v>613681,3|1,0,0</v>
      </c>
      <c r="B3" t="str">
        <f>CONCATENATE(613614,",",ROW(CCTTCR_06609!B3),"|",COLUMN(CCTTCR_06609!B3),",0",",0")</f>
        <v>613614,3|2,0,0</v>
      </c>
      <c r="C3" t="str">
        <f>CONCATENATE(613663,",",ROW(CCTTCR_06609!C3),"|",COLUMN(CCTTCR_06609!C3),",0",",0")</f>
        <v>613663,3|3,0,0</v>
      </c>
      <c r="D3" t="str">
        <f>CONCATENATE(613668,",",ROW(CCTTCR_06609!D3),"|",COLUMN(CCTTCR_06609!D3),",0",",0")</f>
        <v>613668,3|4,0,0</v>
      </c>
      <c r="E3" t="str">
        <f>CONCATENATE(613669,",",ROW(CCTTCR_06609!E3),"|",COLUMN(CCTTCR_06609!E3),",0",",0")</f>
        <v>613669,3|5,0,0</v>
      </c>
    </row>
    <row r="4" spans="1:5" x14ac:dyDescent="0.25">
      <c r="A4" t="str">
        <f>CONCATENATE(613685,",",ROW(CCTTCR_06609!A4),"|",COLUMN(CCTTCR_06609!A4),",0",",0")</f>
        <v>613685,4|1,0,0</v>
      </c>
      <c r="B4" t="s">
        <v>5</v>
      </c>
      <c r="C4" t="str">
        <f>CONCATENATE(613577,",",ROW(CCTTCR_06609!C4),"|",COLUMN(CCTTCR_06609!C4),",0",",0")</f>
        <v>613577,4|3,0,0</v>
      </c>
      <c r="D4" t="str">
        <f>CONCATENATE(613780,",",ROW(CCTTCR_06609!D4),"|",COLUMN(CCTTCR_06609!D4),",0",",0")</f>
        <v>613780,4|4,0,0</v>
      </c>
      <c r="E4" t="str">
        <f>CONCATENATE(613717,",",ROW(CCTTCR_06609!E4),"|",COLUMN(CCTTCR_06609!E4),",0",",0")</f>
        <v>613717,4|5,0,0</v>
      </c>
    </row>
    <row r="5" spans="1:5" x14ac:dyDescent="0.25">
      <c r="A5" t="str">
        <f>CONCATENATE(613622,",",ROW(CCTTCR_06609!A5),"|",COLUMN(CCTTCR_06609!A5),",0",",0")</f>
        <v>613622,5|1,0,0</v>
      </c>
      <c r="B5" t="str">
        <f>CONCATENATE(613763,",",ROW(CCTTCR_06609!B5),"|",COLUMN(CCTTCR_06609!B5),",0",",0")</f>
        <v>613763,5|2,0,0</v>
      </c>
      <c r="C5" t="str">
        <f>CONCATENATE(613750,",",ROW(CCTTCR_06609!C5),"|",COLUMN(CCTTCR_06609!C5),",0",",0")</f>
        <v>613750,5|3,0,0</v>
      </c>
      <c r="D5" t="str">
        <f>CONCATENATE(613696,",",ROW(CCTTCR_06609!D5),"|",COLUMN(CCTTCR_06609!D5),",0",",0")</f>
        <v>613696,5|4,0,0</v>
      </c>
      <c r="E5" t="str">
        <f>CONCATENATE(613790,",",ROW(CCTTCR_06609!E5),"|",COLUMN(CCTTCR_06609!E5),",0",",0")</f>
        <v>613790,5|5,0,0</v>
      </c>
    </row>
    <row r="6" spans="1:5" x14ac:dyDescent="0.25">
      <c r="A6" t="str">
        <f>CONCATENATE(613703,",",ROW(CCTTCR_06609!A6),"|",COLUMN(CCTTCR_06609!A6),",0",",0")</f>
        <v>613703,6|1,0,0</v>
      </c>
      <c r="B6" t="str">
        <f>CONCATENATE(613616,",",ROW(CCTTCR_06609!B6),"|",COLUMN(CCTTCR_06609!B6),",0",",0")</f>
        <v>613616,6|2,0,0</v>
      </c>
      <c r="C6" t="str">
        <f>CONCATENATE(613584,",",ROW(CCTTCR_06609!C6),"|",COLUMN(CCTTCR_06609!C6),",0",",0")</f>
        <v>613584,6|3,0,0</v>
      </c>
      <c r="D6" t="str">
        <f>CONCATENATE(613796,",",ROW(CCTTCR_06609!D6),"|",COLUMN(CCTTCR_06609!D6),",0",",0")</f>
        <v>613796,6|4,0,0</v>
      </c>
      <c r="E6" t="str">
        <f>CONCATENATE(613721,",",ROW(CCTTCR_06609!E6),"|",COLUMN(CCTTCR_06609!E6),",0",",0")</f>
        <v>613721,6|5,0,0</v>
      </c>
    </row>
    <row r="7" spans="1:5" x14ac:dyDescent="0.25">
      <c r="A7" t="str">
        <f>CONCATENATE(613615,",",ROW(CCTTCR_06609!A7),"|",COLUMN(CCTTCR_06609!A7),",0",",0")</f>
        <v>613615,7|1,0,0</v>
      </c>
      <c r="B7" t="str">
        <f>CONCATENATE(613764,",",ROW(CCTTCR_06609!B7),"|",COLUMN(CCTTCR_06609!B7),",0",",0")</f>
        <v>613764,7|2,0,0</v>
      </c>
      <c r="C7" t="str">
        <f>CONCATENATE(613751,",",ROW(CCTTCR_06609!C7),"|",COLUMN(CCTTCR_06609!C7),",0",",0")</f>
        <v>613751,7|3,0,0</v>
      </c>
      <c r="D7" t="str">
        <f>CONCATENATE(613697,",",ROW(CCTTCR_06609!D7),"|",COLUMN(CCTTCR_06609!D7),",0",",0")</f>
        <v>613697,7|4,0,0</v>
      </c>
      <c r="E7" t="str">
        <f>CONCATENATE(613791,",",ROW(CCTTCR_06609!E7),"|",COLUMN(CCTTCR_06609!E7),",0",",0")</f>
        <v>613791,7|5,0,0</v>
      </c>
    </row>
    <row r="8" spans="1:5" x14ac:dyDescent="0.25">
      <c r="A8" t="str">
        <f>CONCATENATE(613704,",",ROW(CCTTCR_06609!A8),"|",COLUMN(CCTTCR_06609!A8),",0",",0")</f>
        <v>613704,8|1,0,0</v>
      </c>
      <c r="B8" t="str">
        <f>CONCATENATE(613765,",",ROW(CCTTCR_06609!B8),"|",COLUMN(CCTTCR_06609!B8),",0",",0")</f>
        <v>613765,8|2,0,0</v>
      </c>
      <c r="C8" t="str">
        <f>CONCATENATE(613752,",",ROW(CCTTCR_06609!C8),"|",COLUMN(CCTTCR_06609!C8),",0",",0")</f>
        <v>613752,8|3,0,0</v>
      </c>
      <c r="D8" t="str">
        <f>CONCATENATE(613698,",",ROW(CCTTCR_06609!D8),"|",COLUMN(CCTTCR_06609!D8),",0",",0")</f>
        <v>613698,8|4,0,0</v>
      </c>
      <c r="E8" t="str">
        <f>CONCATENATE(613792,",",ROW(CCTTCR_06609!E8),"|",COLUMN(CCTTCR_06609!E8),",0",",0")</f>
        <v>613792,8|5,0,0</v>
      </c>
    </row>
    <row r="9" spans="1:5" x14ac:dyDescent="0.25">
      <c r="A9" t="str">
        <f>CONCATENATE(613733,",",ROW(CCTTCR_06609!A9),"|",COLUMN(CCTTCR_06609!A9),",0",",0")</f>
        <v>613733,9|1,0,0</v>
      </c>
      <c r="B9" t="str">
        <f>CONCATENATE(613656,",",ROW(CCTTCR_06609!B9),"|",COLUMN(CCTTCR_06609!B9),",0",",0")</f>
        <v>613656,9|2,0,0</v>
      </c>
      <c r="C9" t="str">
        <f>CONCATENATE(613585,",",ROW(CCTTCR_06609!C9),"|",COLUMN(CCTTCR_06609!C9),",0",",0")</f>
        <v>613585,9|3,0,0</v>
      </c>
      <c r="D9" t="str">
        <f>CONCATENATE(613797,",",ROW(CCTTCR_06609!D9),"|",COLUMN(CCTTCR_06609!D9),",0",",0")</f>
        <v>613797,9|4,0,0</v>
      </c>
      <c r="E9" t="str">
        <f>CONCATENATE(613722,",",ROW(CCTTCR_06609!E9),"|",COLUMN(CCTTCR_06609!E9),",0",",0")</f>
        <v>613722,9|5,0,0</v>
      </c>
    </row>
    <row r="10" spans="1:5" x14ac:dyDescent="0.25">
      <c r="A10" t="str">
        <f>CONCATENATE(613686,",",ROW(CCTTCR_06609!A10),"|",COLUMN(CCTTCR_06609!A10),",0",",0")</f>
        <v>613686,10|1,0,0</v>
      </c>
      <c r="B10" t="str">
        <f>CONCATENATE(613768,",",ROW(CCTTCR_06609!B10),"|",COLUMN(CCTTCR_06609!B10),",0",",0")</f>
        <v>613768,10|2,0,0</v>
      </c>
      <c r="C10" t="str">
        <f>CONCATENATE(613578,",",ROW(CCTTCR_06609!C10),"|",COLUMN(CCTTCR_06609!C10),",0",",0")</f>
        <v>613578,10|3,0,0</v>
      </c>
      <c r="D10" t="str">
        <f>CONCATENATE(613793,",",ROW(CCTTCR_06609!D10),"|",COLUMN(CCTTCR_06609!D10),",0",",0")</f>
        <v>613793,10|4,0,0</v>
      </c>
      <c r="E10" t="str">
        <f>CONCATENATE(613718,",",ROW(CCTTCR_06609!E10),"|",COLUMN(CCTTCR_06609!E10),",0",",0")</f>
        <v>613718,10|5,0,0</v>
      </c>
    </row>
    <row r="11" spans="1:5" x14ac:dyDescent="0.25">
      <c r="A11" t="str">
        <f>CONCATENATE(613666,",",ROW(CCTTCR_06609!A11),"|",COLUMN(CCTTCR_06609!A11),",0",",0")</f>
        <v>613666,11|1,0,0</v>
      </c>
      <c r="B11" t="str">
        <f>CONCATENATE(613769,",",ROW(CCTTCR_06609!B11),"|",COLUMN(CCTTCR_06609!B11),",0",",0")</f>
        <v>613769,11|2,0,0</v>
      </c>
      <c r="C11" t="str">
        <f>CONCATENATE(613586,",",ROW(CCTTCR_06609!C11),"|",COLUMN(CCTTCR_06609!C11),",0",",0")</f>
        <v>613586,11|3,0,0</v>
      </c>
      <c r="D11" t="str">
        <f>CONCATENATE(613637,",",ROW(CCTTCR_06609!D11),"|",COLUMN(CCTTCR_06609!D11),",0",",0")</f>
        <v>613637,11|4,0,0</v>
      </c>
      <c r="E11" t="str">
        <f>CONCATENATE(613655,",",ROW(CCTTCR_06609!E11),"|",COLUMN(CCTTCR_06609!E11),",0",",0")</f>
        <v>613655,11|5,0,0</v>
      </c>
    </row>
    <row r="12" spans="1:5" x14ac:dyDescent="0.25">
      <c r="A12" t="str">
        <f>CONCATENATE(613623,",",ROW(CCTTCR_06609!A12),"|",COLUMN(CCTTCR_06609!A12),",0",",0")</f>
        <v>613623,12|1,0,0</v>
      </c>
      <c r="B12" t="str">
        <f>CONCATENATE(613657,",",ROW(CCTTCR_06609!B12),"|",COLUMN(CCTTCR_06609!B12),",0",",0")</f>
        <v>613657,12|2,0,0</v>
      </c>
      <c r="C12" t="str">
        <f>CONCATENATE(613587,",",ROW(CCTTCR_06609!C12),"|",COLUMN(CCTTCR_06609!C12),",0",",0")</f>
        <v>613587,12|3,0,0</v>
      </c>
      <c r="D12" t="str">
        <f>CONCATENATE(613638,",",ROW(CCTTCR_06609!D12),"|",COLUMN(CCTTCR_06609!D12),",0",",0")</f>
        <v>613638,12|4,0,0</v>
      </c>
      <c r="E12" t="str">
        <f>CONCATENATE(613723,",",ROW(CCTTCR_06609!E12),"|",COLUMN(CCTTCR_06609!E12),",0",",0")</f>
        <v>613723,12|5,0,0</v>
      </c>
    </row>
    <row r="13" spans="1:5" x14ac:dyDescent="0.25">
      <c r="A13" t="str">
        <f>CONCATENATE(613670,",",ROW(CCTTCR_06609!A13),"|",COLUMN(CCTTCR_06609!A13),",0",",0")</f>
        <v>613670,13|1,0,0</v>
      </c>
      <c r="B13" t="str">
        <f>CONCATENATE(613628,",",ROW(CCTTCR_06609!B13),"|",COLUMN(CCTTCR_06609!B13),",0",",0")</f>
        <v>613628,13|2,0,0</v>
      </c>
      <c r="C13" t="str">
        <f>CONCATENATE(613588,",",ROW(CCTTCR_06609!C13),"|",COLUMN(CCTTCR_06609!C13),",0",",0")</f>
        <v>613588,13|3,0,0</v>
      </c>
      <c r="D13" t="str">
        <f>CONCATENATE(613639,",",ROW(CCTTCR_06609!D13),"|",COLUMN(CCTTCR_06609!D13),",0",",0")</f>
        <v>613639,13|4,0,0</v>
      </c>
      <c r="E13" t="str">
        <f>CONCATENATE(613724,",",ROW(CCTTCR_06609!E13),"|",COLUMN(CCTTCR_06609!E13),",0",",0")</f>
        <v>613724,13|5,0,0</v>
      </c>
    </row>
    <row r="14" spans="1:5" x14ac:dyDescent="0.25">
      <c r="A14" t="str">
        <f>CONCATENATE(613734,",",ROW(CCTTCR_06609!A14),"|",COLUMN(CCTTCR_06609!A14),",0",",0")</f>
        <v>613734,14|1,0,0</v>
      </c>
      <c r="B14" t="str">
        <f>CONCATENATE(613766,",",ROW(CCTTCR_06609!B14),"|",COLUMN(CCTTCR_06609!B14),",0",",0")</f>
        <v>613766,14|2,0,0</v>
      </c>
      <c r="C14" t="str">
        <f>CONCATENATE(613753,",",ROW(CCTTCR_06609!C14),"|",COLUMN(CCTTCR_06609!C14),",0",",0")</f>
        <v>613753,14|3,0,0</v>
      </c>
      <c r="D14" t="str">
        <f>CONCATENATE(613699,",",ROW(CCTTCR_06609!D14),"|",COLUMN(CCTTCR_06609!D14),",0",",0")</f>
        <v>613699,14|4,0,0</v>
      </c>
      <c r="E14" t="str">
        <f>CONCATENATE(613705,",",ROW(CCTTCR_06609!E14),"|",COLUMN(CCTTCR_06609!E14),",0",",0")</f>
        <v>613705,14|5,0,0</v>
      </c>
    </row>
    <row r="15" spans="1:5" x14ac:dyDescent="0.25">
      <c r="A15" t="str">
        <f>CONCATENATE(613687,",",ROW(CCTTCR_06609!A15),"|",COLUMN(CCTTCR_06609!A15),",0",",0")</f>
        <v>613687,15|1,0,0</v>
      </c>
      <c r="B15" t="str">
        <f>CONCATENATE(613607,",",ROW(CCTTCR_06609!B15),"|",COLUMN(CCTTCR_06609!B15),",0",",0")</f>
        <v>613607,15|2,0,0</v>
      </c>
      <c r="C15" t="str">
        <f>CONCATENATE(613579,",",ROW(CCTTCR_06609!C15),"|",COLUMN(CCTTCR_06609!C15),",0",",0")</f>
        <v>613579,15|3,0,0</v>
      </c>
      <c r="D15" t="str">
        <f>CONCATENATE(613794,",",ROW(CCTTCR_06609!D15),"|",COLUMN(CCTTCR_06609!D15),",0",",0")</f>
        <v>613794,15|4,0,0</v>
      </c>
      <c r="E15" t="str">
        <f>CONCATENATE(613719,",",ROW(CCTTCR_06609!E15),"|",COLUMN(CCTTCR_06609!E15),",0",",0")</f>
        <v>613719,15|5,0,0</v>
      </c>
    </row>
    <row r="16" spans="1:5" x14ac:dyDescent="0.25">
      <c r="A16" t="str">
        <f>CONCATENATE(613624,",",ROW(CCTTCR_06609!A16),"|",COLUMN(CCTTCR_06609!A16),",0",",0")</f>
        <v>613624,16|1,0,0</v>
      </c>
      <c r="B16" t="str">
        <f>CONCATENATE(613658,",",ROW(CCTTCR_06609!B16),"|",COLUMN(CCTTCR_06609!B16),",0",",0")</f>
        <v>613658,16|2,0,0</v>
      </c>
      <c r="C16" t="str">
        <f>CONCATENATE(613589,",",ROW(CCTTCR_06609!C16),"|",COLUMN(CCTTCR_06609!C16),",0",",0")</f>
        <v>613589,16|3,0,0</v>
      </c>
      <c r="D16" t="str">
        <f>CONCATENATE(613640,",",ROW(CCTTCR_06609!D16),"|",COLUMN(CCTTCR_06609!D16),",0",",0")</f>
        <v>613640,16|4,0,0</v>
      </c>
      <c r="E16" t="str">
        <f>CONCATENATE(613725,",",ROW(CCTTCR_06609!E16),"|",COLUMN(CCTTCR_06609!E16),",0",",0")</f>
        <v>613725,16|5,0,0</v>
      </c>
    </row>
    <row r="17" spans="1:5" x14ac:dyDescent="0.25">
      <c r="A17" t="str">
        <f>CONCATENATE(613682,",",ROW(CCTTCR_06609!A17),"|",COLUMN(CCTTCR_06609!A17),",0",",0")</f>
        <v>613682,17|1,0,0</v>
      </c>
      <c r="B17" t="str">
        <f>CONCATENATE(613659,",",ROW(CCTTCR_06609!B17),"|",COLUMN(CCTTCR_06609!B17),",0",",0")</f>
        <v>613659,17|2,0,0</v>
      </c>
      <c r="C17" t="str">
        <f>CONCATENATE(613590,",",ROW(CCTTCR_06609!C17),"|",COLUMN(CCTTCR_06609!C17),",0",",0")</f>
        <v>613590,17|3,0,0</v>
      </c>
      <c r="D17" t="str">
        <f>CONCATENATE(613641,",",ROW(CCTTCR_06609!D17),"|",COLUMN(CCTTCR_06609!D17),",0",",0")</f>
        <v>613641,17|4,0,0</v>
      </c>
      <c r="E17" t="str">
        <f>CONCATENATE(613726,",",ROW(CCTTCR_06609!E17),"|",COLUMN(CCTTCR_06609!E17),",0",",0")</f>
        <v>613726,17|5,0,0</v>
      </c>
    </row>
    <row r="18" spans="1:5" x14ac:dyDescent="0.25">
      <c r="A18" t="str">
        <f>CONCATENATE(613688,",",ROW(CCTTCR_06609!A18),"|",COLUMN(CCTTCR_06609!A18),",0",",0")</f>
        <v>613688,18|1,0,0</v>
      </c>
      <c r="B18" t="s">
        <v>5</v>
      </c>
      <c r="C18" t="str">
        <f>CONCATENATE(613580,",",ROW(CCTTCR_06609!C18),"|",COLUMN(CCTTCR_06609!C18),",0",",0")</f>
        <v>613580,18|3,0,0</v>
      </c>
      <c r="D18" t="str">
        <f>CONCATENATE(613795,",",ROW(CCTTCR_06609!D18),"|",COLUMN(CCTTCR_06609!D18),",0",",0")</f>
        <v>613795,18|4,0,0</v>
      </c>
      <c r="E18" t="str">
        <f>CONCATENATE(613720,",",ROW(CCTTCR_06609!E18),"|",COLUMN(CCTTCR_06609!E18),",0",",0")</f>
        <v>613720,18|5,0,0</v>
      </c>
    </row>
    <row r="19" spans="1:5" x14ac:dyDescent="0.25">
      <c r="A19" t="str">
        <f>CONCATENATE(613625,",",ROW(CCTTCR_06609!A19),"|",COLUMN(CCTTCR_06609!A19),",0",",0")</f>
        <v>613625,19|1,0,0</v>
      </c>
      <c r="B19" t="str">
        <f>CONCATENATE(613767,",",ROW(CCTTCR_06609!B19),"|",COLUMN(CCTTCR_06609!B19),",0",",0")</f>
        <v>613767,19|2,0,0</v>
      </c>
      <c r="C19" t="str">
        <f>CONCATENATE(613754,",",ROW(CCTTCR_06609!C19),"|",COLUMN(CCTTCR_06609!C19),",0",",0")</f>
        <v>613754,19|3,0,0</v>
      </c>
      <c r="D19" t="str">
        <f>CONCATENATE(613756,",",ROW(CCTTCR_06609!D19),"|",COLUMN(CCTTCR_06609!D19),",0",",0")</f>
        <v>613756,19|4,0,0</v>
      </c>
      <c r="E19" t="str">
        <f>CONCATENATE(613706,",",ROW(CCTTCR_06609!E19),"|",COLUMN(CCTTCR_06609!E19),",0",",0")</f>
        <v>613706,19|5,0,0</v>
      </c>
    </row>
    <row r="20" spans="1:5" x14ac:dyDescent="0.25">
      <c r="A20" t="str">
        <f>CONCATENATE(613683,",",ROW(CCTTCR_06609!A20),"|",COLUMN(CCTTCR_06609!A20),",0",",0")</f>
        <v>613683,20|1,0,0</v>
      </c>
      <c r="B20" t="str">
        <f>CONCATENATE(613629,",",ROW(CCTTCR_06609!B20),"|",COLUMN(CCTTCR_06609!B20),",0",",0")</f>
        <v>613629,20|2,0,0</v>
      </c>
      <c r="C20" t="str">
        <f>CONCATENATE(613591,",",ROW(CCTTCR_06609!C20),"|",COLUMN(CCTTCR_06609!C20),",0",",0")</f>
        <v>613591,20|3,0,0</v>
      </c>
      <c r="D20" t="str">
        <f>CONCATENATE(613642,",",ROW(CCTTCR_06609!D20),"|",COLUMN(CCTTCR_06609!D20),",0",",0")</f>
        <v>613642,20|4,0,0</v>
      </c>
      <c r="E20" t="str">
        <f>CONCATENATE(613727,",",ROW(CCTTCR_06609!E20),"|",COLUMN(CCTTCR_06609!E20),",0",",0")</f>
        <v>613727,20|5,0,0</v>
      </c>
    </row>
    <row r="21" spans="1:5" x14ac:dyDescent="0.25">
      <c r="A21" t="str">
        <f>CONCATENATE(613735,",",ROW(CCTTCR_06609!A21),"|",COLUMN(CCTTCR_06609!A21),",0",",0")</f>
        <v>613735,21|1,0,0</v>
      </c>
      <c r="B21" t="str">
        <f>CONCATENATE(613671,",",ROW(CCTTCR_06609!B21),"|",COLUMN(CCTTCR_06609!B21),",0",",0")</f>
        <v>613671,21|2,0,0</v>
      </c>
      <c r="C21" t="str">
        <f>CONCATENATE(613755,",",ROW(CCTTCR_06609!C21),"|",COLUMN(CCTTCR_06609!C21),",0",",0")</f>
        <v>613755,21|3,0,0</v>
      </c>
      <c r="D21" t="str">
        <f>CONCATENATE(613770,",",ROW(CCTTCR_06609!D21),"|",COLUMN(CCTTCR_06609!D21),",0",",0")</f>
        <v>613770,21|4,0,0</v>
      </c>
      <c r="E21" t="str">
        <f>CONCATENATE(613707,",",ROW(CCTTCR_06609!E21),"|",COLUMN(CCTTCR_06609!E21),",0",",0")</f>
        <v>613707,21|5,0,0</v>
      </c>
    </row>
    <row r="22" spans="1:5" x14ac:dyDescent="0.25">
      <c r="A22" t="str">
        <f>CONCATENATE(613684,",",ROW(CCTTCR_06609!A22),"|",COLUMN(CCTTCR_06609!A22),",0",",0")</f>
        <v>613684,22|1,0,0</v>
      </c>
      <c r="B22" t="str">
        <f>CONCATENATE(613672,",",ROW(CCTTCR_06609!B22),"|",COLUMN(CCTTCR_06609!B22),",0",",0")</f>
        <v>613672,22|2,0,0</v>
      </c>
      <c r="C22" t="str">
        <f>CONCATENATE(613570,",",ROW(CCTTCR_06609!C22),"|",COLUMN(CCTTCR_06609!C22),",0",",0")</f>
        <v>613570,22|3,0,0</v>
      </c>
      <c r="D22" t="str">
        <f>CONCATENATE(613771,",",ROW(CCTTCR_06609!D22),"|",COLUMN(CCTTCR_06609!D22),",0",",0")</f>
        <v>613771,22|4,0,0</v>
      </c>
      <c r="E22" t="str">
        <f>CONCATENATE(613708,",",ROW(CCTTCR_06609!E22),"|",COLUMN(CCTTCR_06609!E22),",0",",0")</f>
        <v>613708,22|5,0,0</v>
      </c>
    </row>
    <row r="23" spans="1:5" x14ac:dyDescent="0.25">
      <c r="A23" t="str">
        <f>CONCATENATE(613667,",",ROW(CCTTCR_06609!A23),"|",COLUMN(CCTTCR_06609!A23),",0",",0")</f>
        <v>613667,23|1,0,0</v>
      </c>
      <c r="B23" t="str">
        <f>CONCATENATE(613660,",",ROW(CCTTCR_06609!B23),"|",COLUMN(CCTTCR_06609!B23),",0",",0")</f>
        <v>613660,23|2,0,0</v>
      </c>
      <c r="C23" t="str">
        <f>CONCATENATE(613592,",",ROW(CCTTCR_06609!C23),"|",COLUMN(CCTTCR_06609!C23),",0",",0")</f>
        <v>613592,23|3,0,0</v>
      </c>
      <c r="D23" t="str">
        <f>CONCATENATE(613643,",",ROW(CCTTCR_06609!D23),"|",COLUMN(CCTTCR_06609!D23),",0",",0")</f>
        <v>613643,23|4,0,0</v>
      </c>
      <c r="E23" t="str">
        <f>CONCATENATE(613728,",",ROW(CCTTCR_06609!E23),"|",COLUMN(CCTTCR_06609!E23),",0",",0")</f>
        <v>613728,23|5,0,0</v>
      </c>
    </row>
    <row r="24" spans="1:5" x14ac:dyDescent="0.25">
      <c r="A24" t="str">
        <f>CONCATENATE(613664,",",ROW(CCTTCR_06609!A24),"|",COLUMN(CCTTCR_06609!A24),",0",",0")</f>
        <v>613664,24|1,0,0</v>
      </c>
      <c r="B24" t="str">
        <f>CONCATENATE(613673,",",ROW(CCTTCR_06609!B24),"|",COLUMN(CCTTCR_06609!B24),",0",",0")</f>
        <v>613673,24|2,0,0</v>
      </c>
      <c r="C24" t="str">
        <f>CONCATENATE(613571,",",ROW(CCTTCR_06609!C24),"|",COLUMN(CCTTCR_06609!C24),",0",",0")</f>
        <v>613571,24|3,0,0</v>
      </c>
      <c r="D24" t="str">
        <f>CONCATENATE(613772,",",ROW(CCTTCR_06609!D24),"|",COLUMN(CCTTCR_06609!D24),",0",",0")</f>
        <v>613772,24|4,0,0</v>
      </c>
      <c r="E24" t="str">
        <f>CONCATENATE(613709,",",ROW(CCTTCR_06609!E24),"|",COLUMN(CCTTCR_06609!E24),",0",",0")</f>
        <v>613709,24|5,0,0</v>
      </c>
    </row>
    <row r="25" spans="1:5" x14ac:dyDescent="0.25">
      <c r="A25" t="str">
        <f>CONCATENATE(613700,",",ROW(CCTTCR_06609!A25),"|",COLUMN(CCTTCR_06609!A25),",0",",0")</f>
        <v>613700,25|1,0,0</v>
      </c>
      <c r="B25" t="str">
        <f>CONCATENATE(613674,",",ROW(CCTTCR_06609!B25),"|",COLUMN(CCTTCR_06609!B25),",0",",0")</f>
        <v>613674,25|2,0,0</v>
      </c>
      <c r="C25" t="str">
        <f>CONCATENATE(613572,",",ROW(CCTTCR_06609!C25),"|",COLUMN(CCTTCR_06609!C25),",0",",0")</f>
        <v>613572,25|3,0,0</v>
      </c>
      <c r="D25" t="str">
        <f>CONCATENATE(613773,",",ROW(CCTTCR_06609!D25),"|",COLUMN(CCTTCR_06609!D25),",0",",0")</f>
        <v>613773,25|4,0,0</v>
      </c>
      <c r="E25" t="str">
        <f>CONCATENATE(613710,",",ROW(CCTTCR_06609!E25),"|",COLUMN(CCTTCR_06609!E25),",0",",0")</f>
        <v>613710,25|5,0,0</v>
      </c>
    </row>
    <row r="26" spans="1:5" x14ac:dyDescent="0.25">
      <c r="A26" t="str">
        <f>CONCATENATE(613701,",",ROW(CCTTCR_06609!A26),"|",COLUMN(CCTTCR_06609!A26),",0",",0")</f>
        <v>613701,26|1,0,0</v>
      </c>
      <c r="B26" t="str">
        <f>CONCATENATE(613630,",",ROW(CCTTCR_06609!B26),"|",COLUMN(CCTTCR_06609!B26),",0",",0")</f>
        <v>613630,26|2,0,0</v>
      </c>
      <c r="C26" t="str">
        <f>CONCATENATE(613593,",",ROW(CCTTCR_06609!C26),"|",COLUMN(CCTTCR_06609!C26),",0",",0")</f>
        <v>613593,26|3,0,0</v>
      </c>
      <c r="D26" t="str">
        <f>CONCATENATE(613644,",",ROW(CCTTCR_06609!D26),"|",COLUMN(CCTTCR_06609!D26),",0",",0")</f>
        <v>613644,26|4,0,0</v>
      </c>
      <c r="E26" t="str">
        <f>CONCATENATE(613729,",",ROW(CCTTCR_06609!E26),"|",COLUMN(CCTTCR_06609!E26),",0",",0")</f>
        <v>613729,26|5,0,0</v>
      </c>
    </row>
    <row r="27" spans="1:5" x14ac:dyDescent="0.25">
      <c r="A27" t="str">
        <f>CONCATENATE(613702,",",ROW(CCTTCR_06609!A27),"|",COLUMN(CCTTCR_06609!A27),",0",",0")</f>
        <v>613702,27|1,0,0</v>
      </c>
      <c r="B27" t="str">
        <f>CONCATENATE(613631,",",ROW(CCTTCR_06609!B27),"|",COLUMN(CCTTCR_06609!B27),",0",",0")</f>
        <v>613631,27|2,0,0</v>
      </c>
      <c r="C27" t="str">
        <f>CONCATENATE(613594,",",ROW(CCTTCR_06609!C27),"|",COLUMN(CCTTCR_06609!C27),",0",",0")</f>
        <v>613594,27|3,0,0</v>
      </c>
      <c r="D27" t="str">
        <f>CONCATENATE(613645,",",ROW(CCTTCR_06609!D27),"|",COLUMN(CCTTCR_06609!D27),",0",",0")</f>
        <v>613645,27|4,0,0</v>
      </c>
      <c r="E27" t="str">
        <f>CONCATENATE(613730,",",ROW(CCTTCR_06609!E27),"|",COLUMN(CCTTCR_06609!E27),",0",",0")</f>
        <v>613730,27|5,0,0</v>
      </c>
    </row>
    <row r="28" spans="1:5" x14ac:dyDescent="0.25">
      <c r="A28" t="str">
        <f>CONCATENATE(613626,",",ROW(CCTTCR_06609!A28),"|",COLUMN(CCTTCR_06609!A28),",0",",0")</f>
        <v>613626,28|1,0,0</v>
      </c>
      <c r="B28" t="str">
        <f>CONCATENATE(613675,",",ROW(CCTTCR_06609!B28),"|",COLUMN(CCTTCR_06609!B28),",0",",0")</f>
        <v>613675,28|2,0,0</v>
      </c>
      <c r="C28" t="str">
        <f>CONCATENATE(613573,",",ROW(CCTTCR_06609!C28),"|",COLUMN(CCTTCR_06609!C28),",0",",0")</f>
        <v>613573,28|3,0,0</v>
      </c>
      <c r="D28" t="str">
        <f>CONCATENATE(613774,",",ROW(CCTTCR_06609!D28),"|",COLUMN(CCTTCR_06609!D28),",0",",0")</f>
        <v>613774,28|4,0,0</v>
      </c>
      <c r="E28" t="str">
        <f>CONCATENATE(613711,",",ROW(CCTTCR_06609!E28),"|",COLUMN(CCTTCR_06609!E28),",0",",0")</f>
        <v>613711,28|5,0,0</v>
      </c>
    </row>
    <row r="29" spans="1:5" x14ac:dyDescent="0.25">
      <c r="A29" t="str">
        <f>CONCATENATE(613634,",",ROW(CCTTCR_06609!A29),"|",COLUMN(CCTTCR_06609!A29),",0",",0")</f>
        <v>613634,29|1,0,0</v>
      </c>
      <c r="B29" t="str">
        <f>CONCATENATE(613608,",",ROW(CCTTCR_06609!B29),"|",COLUMN(CCTTCR_06609!B29),",0",",0")</f>
        <v>613608,29|2,0,0</v>
      </c>
      <c r="C29" t="str">
        <f>CONCATENATE(613595,",",ROW(CCTTCR_06609!C29),"|",COLUMN(CCTTCR_06609!C29),",0",",0")</f>
        <v>613595,29|3,0,0</v>
      </c>
      <c r="D29" t="str">
        <f>CONCATENATE(613646,",",ROW(CCTTCR_06609!D29),"|",COLUMN(CCTTCR_06609!D29),",0",",0")</f>
        <v>613646,29|4,0,0</v>
      </c>
      <c r="E29" t="str">
        <f>CONCATENATE(613731,",",ROW(CCTTCR_06609!E29),"|",COLUMN(CCTTCR_06609!E29),",0",",0")</f>
        <v>613731,29|5,0,0</v>
      </c>
    </row>
    <row r="30" spans="1:5" x14ac:dyDescent="0.25">
      <c r="A30" t="str">
        <f>CONCATENATE(613635,",",ROW(CCTTCR_06609!A30),"|",COLUMN(CCTTCR_06609!A30),",0",",0")</f>
        <v>613635,30|1,0,0</v>
      </c>
      <c r="B30" t="str">
        <f>CONCATENATE(613609,",",ROW(CCTTCR_06609!B30),"|",COLUMN(CCTTCR_06609!B30),",0",",0")</f>
        <v>613609,30|2,0,0</v>
      </c>
      <c r="C30" t="str">
        <f>CONCATENATE(613596,",",ROW(CCTTCR_06609!C30),"|",COLUMN(CCTTCR_06609!C30),",0",",0")</f>
        <v>613596,30|3,0,0</v>
      </c>
      <c r="D30" t="str">
        <f>CONCATENATE(613647,",",ROW(CCTTCR_06609!D30),"|",COLUMN(CCTTCR_06609!D30),",0",",0")</f>
        <v>613647,30|4,0,0</v>
      </c>
      <c r="E30" t="str">
        <f>CONCATENATE(613732,",",ROW(CCTTCR_06609!E30),"|",COLUMN(CCTTCR_06609!E30),",0",",0")</f>
        <v>613732,30|5,0,0</v>
      </c>
    </row>
    <row r="31" spans="1:5" x14ac:dyDescent="0.25">
      <c r="A31" t="str">
        <f>CONCATENATE(613636,",",ROW(CCTTCR_06609!A31),"|",COLUMN(CCTTCR_06609!A31),",0",",0")</f>
        <v>613636,31|1,0,0</v>
      </c>
      <c r="B31" t="str">
        <f>CONCATENATE(613676,",",ROW(CCTTCR_06609!B31),"|",COLUMN(CCTTCR_06609!B31),",0",",0")</f>
        <v>613676,31|2,0,0</v>
      </c>
      <c r="C31" t="str">
        <f>CONCATENATE(613574,",",ROW(CCTTCR_06609!C31),"|",COLUMN(CCTTCR_06609!C31),",0",",0")</f>
        <v>613574,31|3,0,0</v>
      </c>
      <c r="D31" t="str">
        <f>CONCATENATE(613775,",",ROW(CCTTCR_06609!D31),"|",COLUMN(CCTTCR_06609!D31),",0",",0")</f>
        <v>613775,31|4,0,0</v>
      </c>
      <c r="E31" t="str">
        <f>CONCATENATE(613712,",",ROW(CCTTCR_06609!E31),"|",COLUMN(CCTTCR_06609!E31),",0",",0")</f>
        <v>613712,31|5,0,0</v>
      </c>
    </row>
    <row r="32" spans="1:5" x14ac:dyDescent="0.25">
      <c r="A32" t="str">
        <f>CONCATENATE(613736,",",ROW(CCTTCR_06609!A32),"|",COLUMN(CCTTCR_06609!A32),",0",",0")</f>
        <v>613736,32|1,0,0</v>
      </c>
      <c r="B32" t="str">
        <f>CONCATENATE(613632,",",ROW(CCTTCR_06609!B32),"|",COLUMN(CCTTCR_06609!B32),",0",",0")</f>
        <v>613632,32|2,0,0</v>
      </c>
      <c r="C32" t="str">
        <f>CONCATENATE(613597,",",ROW(CCTTCR_06609!C32),"|",COLUMN(CCTTCR_06609!C32),",0",",0")</f>
        <v>613597,32|3,0,0</v>
      </c>
      <c r="D32" t="str">
        <f>CONCATENATE(613648,",",ROW(CCTTCR_06609!D32),"|",COLUMN(CCTTCR_06609!D32),",0",",0")</f>
        <v>613648,32|4,0,0</v>
      </c>
      <c r="E32" t="str">
        <f>CONCATENATE(613600,",",ROW(CCTTCR_06609!E32),"|",COLUMN(CCTTCR_06609!E32),",0",",0")</f>
        <v>613600,32|5,0,0</v>
      </c>
    </row>
    <row r="33" spans="1:5" x14ac:dyDescent="0.25">
      <c r="A33" t="str">
        <f>CONCATENATE(613737,",",ROW(CCTTCR_06609!A33),"|",COLUMN(CCTTCR_06609!A33),",0",",0")</f>
        <v>613737,33|1,0,0</v>
      </c>
      <c r="B33" t="str">
        <f>CONCATENATE(613677,",",ROW(CCTTCR_06609!B33),"|",COLUMN(CCTTCR_06609!B33),",0",",0")</f>
        <v>613677,33|2,0,0</v>
      </c>
      <c r="C33" t="str">
        <f>CONCATENATE(613781,",",ROW(CCTTCR_06609!C33),"|",COLUMN(CCTTCR_06609!C33),",0",",0")</f>
        <v>613781,33|3,0,0</v>
      </c>
      <c r="D33" t="str">
        <f>CONCATENATE(613776,",",ROW(CCTTCR_06609!D33),"|",COLUMN(CCTTCR_06609!D33),",0",",0")</f>
        <v>613776,33|4,0,0</v>
      </c>
      <c r="E33" t="str">
        <f>CONCATENATE(613713,",",ROW(CCTTCR_06609!E33),"|",COLUMN(CCTTCR_06609!E33),",0",",0")</f>
        <v>613713,33|5,0,0</v>
      </c>
    </row>
    <row r="34" spans="1:5" x14ac:dyDescent="0.25">
      <c r="A34" t="str">
        <f>CONCATENATE(613738,",",ROW(CCTTCR_06609!A34),"|",COLUMN(CCTTCR_06609!A34),",0",",0")</f>
        <v>613738,34|1,0,0</v>
      </c>
      <c r="B34" t="str">
        <f>CONCATENATE(613617,",",ROW(CCTTCR_06609!B34),"|",COLUMN(CCTTCR_06609!B34),",0",",0")</f>
        <v>613617,34|2,0,0</v>
      </c>
      <c r="C34" t="str">
        <f>CONCATENATE(613598,",",ROW(CCTTCR_06609!C34),"|",COLUMN(CCTTCR_06609!C34),",0",",0")</f>
        <v>613598,34|3,0,0</v>
      </c>
      <c r="D34" t="str">
        <f>CONCATENATE(613649,",",ROW(CCTTCR_06609!D34),"|",COLUMN(CCTTCR_06609!D34),",0",",0")</f>
        <v>613649,34|4,0,0</v>
      </c>
      <c r="E34" t="str">
        <f>CONCATENATE(613601,",",ROW(CCTTCR_06609!E34),"|",COLUMN(CCTTCR_06609!E34),",0",",0")</f>
        <v>613601,34|5,0,0</v>
      </c>
    </row>
    <row r="35" spans="1:5" x14ac:dyDescent="0.25">
      <c r="A35" t="str">
        <f>CONCATENATE(613739,",",ROW(CCTTCR_06609!A35),"|",COLUMN(CCTTCR_06609!A35),",0",",0")</f>
        <v>613739,35|1,0,0</v>
      </c>
      <c r="B35" t="str">
        <f>CONCATENATE(613678,",",ROW(CCTTCR_06609!B35),"|",COLUMN(CCTTCR_06609!B35),",0",",0")</f>
        <v>613678,35|2,0,0</v>
      </c>
      <c r="C35" t="str">
        <f>CONCATENATE(613782,",",ROW(CCTTCR_06609!C35),"|",COLUMN(CCTTCR_06609!C35),",0",",0")</f>
        <v>613782,35|3,0,0</v>
      </c>
      <c r="D35" t="str">
        <f>CONCATENATE(613777,",",ROW(CCTTCR_06609!D35),"|",COLUMN(CCTTCR_06609!D35),",0",",0")</f>
        <v>613777,35|4,0,0</v>
      </c>
      <c r="E35" t="str">
        <f>CONCATENATE(613714,",",ROW(CCTTCR_06609!E35),"|",COLUMN(CCTTCR_06609!E35),",0",",0")</f>
        <v>613714,35|5,0,0</v>
      </c>
    </row>
    <row r="36" spans="1:5" x14ac:dyDescent="0.25">
      <c r="A36" t="str">
        <f>CONCATENATE(613740,",",ROW(CCTTCR_06609!A36),"|",COLUMN(CCTTCR_06609!A36),",0",",0")</f>
        <v>613740,36|1,0,0</v>
      </c>
      <c r="B36" t="str">
        <f>CONCATENATE(613618,",",ROW(CCTTCR_06609!B36),"|",COLUMN(CCTTCR_06609!B36),",0",",0")</f>
        <v>613618,36|2,0,0</v>
      </c>
      <c r="C36" t="str">
        <f>CONCATENATE(613599,",",ROW(CCTTCR_06609!C36),"|",COLUMN(CCTTCR_06609!C36),",0",",0")</f>
        <v>613599,36|3,0,0</v>
      </c>
      <c r="D36" t="str">
        <f>CONCATENATE(613650,",",ROW(CCTTCR_06609!D36),"|",COLUMN(CCTTCR_06609!D36),",0",",0")</f>
        <v>613650,36|4,0,0</v>
      </c>
      <c r="E36" t="str">
        <f>CONCATENATE(613602,",",ROW(CCTTCR_06609!E36),"|",COLUMN(CCTTCR_06609!E36),",0",",0")</f>
        <v>613602,36|5,0,0</v>
      </c>
    </row>
    <row r="37" spans="1:5" x14ac:dyDescent="0.25">
      <c r="A37" t="str">
        <f>CONCATENATE(613741,",",ROW(CCTTCR_06609!A37),"|",COLUMN(CCTTCR_06609!A37),",0",",0")</f>
        <v>613741,37|1,0,0</v>
      </c>
      <c r="B37" t="str">
        <f>CONCATENATE(613619,",",ROW(CCTTCR_06609!B37),"|",COLUMN(CCTTCR_06609!B37),",0",",0")</f>
        <v>613619,37|2,0,0</v>
      </c>
      <c r="C37" t="str">
        <f>CONCATENATE(613581,",",ROW(CCTTCR_06609!C37),"|",COLUMN(CCTTCR_06609!C37),",0",",0")</f>
        <v>613581,37|3,0,0</v>
      </c>
      <c r="D37" t="str">
        <f>CONCATENATE(613651,",",ROW(CCTTCR_06609!D37),"|",COLUMN(CCTTCR_06609!D37),",0",",0")</f>
        <v>613651,37|4,0,0</v>
      </c>
      <c r="E37" t="str">
        <f>CONCATENATE(613603,",",ROW(CCTTCR_06609!E37),"|",COLUMN(CCTTCR_06609!E37),",0",",0")</f>
        <v>613603,37|5,0,0</v>
      </c>
    </row>
    <row r="38" spans="1:5" x14ac:dyDescent="0.25">
      <c r="A38" t="str">
        <f>CONCATENATE(613606,",",ROW(CCTTCR_06609!A38),"|",COLUMN(CCTTCR_06609!A38),",0",",0")</f>
        <v>613606,38|1,0,0</v>
      </c>
      <c r="B38" t="str">
        <f>CONCATENATE(613633,",",ROW(CCTTCR_06609!B38),"|",COLUMN(CCTTCR_06609!B38),",0",",0")</f>
        <v>613633,38|2,0,0</v>
      </c>
      <c r="C38" t="str">
        <f>CONCATENATE(613743,",",ROW(CCTTCR_06609!C38),"|",COLUMN(CCTTCR_06609!C38),",0",",0")</f>
        <v>613743,38|3,0,0</v>
      </c>
      <c r="D38" t="str">
        <f>CONCATENATE(613689,",",ROW(CCTTCR_06609!D38),"|",COLUMN(CCTTCR_06609!D38),",0",",0")</f>
        <v>613689,38|4,0,0</v>
      </c>
      <c r="E38" t="str">
        <f>CONCATENATE(613783,",",ROW(CCTTCR_06609!E38),"|",COLUMN(CCTTCR_06609!E38),",0",",0")</f>
        <v>613783,38|5,0,0</v>
      </c>
    </row>
    <row r="39" spans="1:5" x14ac:dyDescent="0.25">
      <c r="A39" t="str">
        <f>CONCATENATE(613654,",",ROW(CCTTCR_06609!A39),"|",COLUMN(CCTTCR_06609!A39),",0",",0")</f>
        <v>613654,39|1,0,0</v>
      </c>
      <c r="B39" t="str">
        <f>CONCATENATE(613665,",",ROW(CCTTCR_06609!B39),"|",COLUMN(CCTTCR_06609!B39),",0",",0")</f>
        <v>613665,39|2,0,0</v>
      </c>
      <c r="C39" t="str">
        <f>CONCATENATE(613582,",",ROW(CCTTCR_06609!C39),"|",COLUMN(CCTTCR_06609!C39),",0",",0")</f>
        <v>613582,39|3,0,0</v>
      </c>
      <c r="D39" t="str">
        <f>CONCATENATE(613652,",",ROW(CCTTCR_06609!D39),"|",COLUMN(CCTTCR_06609!D39),",0",",0")</f>
        <v>613652,39|4,0,0</v>
      </c>
      <c r="E39" t="str">
        <f>CONCATENATE(613604,",",ROW(CCTTCR_06609!E39),"|",COLUMN(CCTTCR_06609!E39),",0",",0")</f>
        <v>613604,39|5,0,0</v>
      </c>
    </row>
    <row r="40" spans="1:5" x14ac:dyDescent="0.25">
      <c r="A40" t="str">
        <f>CONCATENATE(613757,",",ROW(CCTTCR_06609!A40),"|",COLUMN(CCTTCR_06609!A40),",0",",0")</f>
        <v>613757,40|1,0,0</v>
      </c>
      <c r="B40" t="str">
        <f>CONCATENATE(613610,",",ROW(CCTTCR_06609!B40),"|",COLUMN(CCTTCR_06609!B40),",0",",0")</f>
        <v>613610,40|2,0,0</v>
      </c>
      <c r="C40" t="str">
        <f>CONCATENATE(613744,",",ROW(CCTTCR_06609!C40),"|",COLUMN(CCTTCR_06609!C40),",0",",0")</f>
        <v>613744,40|3,0,0</v>
      </c>
      <c r="D40" t="str">
        <f>CONCATENATE(613690,",",ROW(CCTTCR_06609!D40),"|",COLUMN(CCTTCR_06609!D40),",0",",0")</f>
        <v>613690,40|4,0,0</v>
      </c>
      <c r="E40" t="str">
        <f>CONCATENATE(613784,",",ROW(CCTTCR_06609!E40),"|",COLUMN(CCTTCR_06609!E40),",0",",0")</f>
        <v>613784,40|5,0,0</v>
      </c>
    </row>
    <row r="41" spans="1:5" x14ac:dyDescent="0.25">
      <c r="A41" t="str">
        <f>CONCATENATE(613758,",",ROW(CCTTCR_06609!A41),"|",COLUMN(CCTTCR_06609!A41),",0",",0")</f>
        <v>613758,41|1,0,0</v>
      </c>
      <c r="B41" t="str">
        <f>CONCATENATE(613612,",",ROW(CCTTCR_06609!B41),"|",COLUMN(CCTTCR_06609!B41),",0",",0")</f>
        <v>613612,41|2,0,0</v>
      </c>
      <c r="C41" t="str">
        <f>CONCATENATE(613745,",",ROW(CCTTCR_06609!C41),"|",COLUMN(CCTTCR_06609!C41),",0",",0")</f>
        <v>613745,41|3,0,0</v>
      </c>
      <c r="D41" t="str">
        <f>CONCATENATE(613691,",",ROW(CCTTCR_06609!D41),"|",COLUMN(CCTTCR_06609!D41),",0",",0")</f>
        <v>613691,41|4,0,0</v>
      </c>
      <c r="E41" t="str">
        <f>CONCATENATE(613785,",",ROW(CCTTCR_06609!E41),"|",COLUMN(CCTTCR_06609!E41),",0",",0")</f>
        <v>613785,41|5,0,0</v>
      </c>
    </row>
    <row r="42" spans="1:5" x14ac:dyDescent="0.25">
      <c r="A42" t="str">
        <f>CONCATENATE(613627,",",ROW(CCTTCR_06609!A42),"|",COLUMN(CCTTCR_06609!A42),",0",",0")</f>
        <v>613627,42|1,0,0</v>
      </c>
      <c r="B42" t="str">
        <f>CONCATENATE(613679,",",ROW(CCTTCR_06609!B42),"|",COLUMN(CCTTCR_06609!B42),",0",",0")</f>
        <v>613679,42|2,0,0</v>
      </c>
      <c r="C42" t="str">
        <f>CONCATENATE(613575,",",ROW(CCTTCR_06609!C42),"|",COLUMN(CCTTCR_06609!C42),",0",",0")</f>
        <v>613575,42|3,0,0</v>
      </c>
      <c r="D42" t="str">
        <f>CONCATENATE(613778,",",ROW(CCTTCR_06609!D42),"|",COLUMN(CCTTCR_06609!D42),",0",",0")</f>
        <v>613778,42|4,0,0</v>
      </c>
      <c r="E42" t="str">
        <f>CONCATENATE(613715,",",ROW(CCTTCR_06609!E42),"|",COLUMN(CCTTCR_06609!E42),",0",",0")</f>
        <v>613715,42|5,0,0</v>
      </c>
    </row>
    <row r="43" spans="1:5" x14ac:dyDescent="0.25">
      <c r="A43" t="str">
        <f>CONCATENATE(613759,",",ROW(CCTTCR_06609!A43),"|",COLUMN(CCTTCR_06609!A43),",0",",0")</f>
        <v>613759,43|1,0,0</v>
      </c>
      <c r="B43" t="str">
        <f>CONCATENATE(613613,",",ROW(CCTTCR_06609!B43),"|",COLUMN(CCTTCR_06609!B43),",0",",0")</f>
        <v>613613,43|2,0,0</v>
      </c>
      <c r="C43" t="str">
        <f>CONCATENATE(613746,",",ROW(CCTTCR_06609!C43),"|",COLUMN(CCTTCR_06609!C43),",0",",0")</f>
        <v>613746,43|3,0,0</v>
      </c>
      <c r="D43" t="str">
        <f>CONCATENATE(613692,",",ROW(CCTTCR_06609!D43),"|",COLUMN(CCTTCR_06609!D43),",0",",0")</f>
        <v>613692,43|4,0,0</v>
      </c>
      <c r="E43" t="str">
        <f>CONCATENATE(613786,",",ROW(CCTTCR_06609!E43),"|",COLUMN(CCTTCR_06609!E43),",0",",0")</f>
        <v>613786,43|5,0,0</v>
      </c>
    </row>
    <row r="44" spans="1:5" x14ac:dyDescent="0.25">
      <c r="A44" t="str">
        <f>CONCATENATE(613760,",",ROW(CCTTCR_06609!A44),"|",COLUMN(CCTTCR_06609!A44),",0",",0")</f>
        <v>613760,44|1,0,0</v>
      </c>
      <c r="B44" t="str">
        <f>CONCATENATE(613620,",",ROW(CCTTCR_06609!B44),"|",COLUMN(CCTTCR_06609!B44),",0",",0")</f>
        <v>613620,44|2,0,0</v>
      </c>
      <c r="C44" t="str">
        <f>CONCATENATE(613747,",",ROW(CCTTCR_06609!C44),"|",COLUMN(CCTTCR_06609!C44),",0",",0")</f>
        <v>613747,44|3,0,0</v>
      </c>
      <c r="D44" t="str">
        <f>CONCATENATE(613693,",",ROW(CCTTCR_06609!D44),"|",COLUMN(CCTTCR_06609!D44),",0",",0")</f>
        <v>613693,44|4,0,0</v>
      </c>
      <c r="E44" t="str">
        <f>CONCATENATE(613787,",",ROW(CCTTCR_06609!E44),"|",COLUMN(CCTTCR_06609!E44),",0",",0")</f>
        <v>613787,44|5,0,0</v>
      </c>
    </row>
    <row r="45" spans="1:5" x14ac:dyDescent="0.25">
      <c r="A45" t="str">
        <f>CONCATENATE(613742,",",ROW(CCTTCR_06609!A45),"|",COLUMN(CCTTCR_06609!A45),",0",",0")</f>
        <v>613742,45|1,0,0</v>
      </c>
      <c r="B45" t="str">
        <f>CONCATENATE(613621,",",ROW(CCTTCR_06609!B45),"|",COLUMN(CCTTCR_06609!B45),",0",",0")</f>
        <v>613621,45|2,0,0</v>
      </c>
      <c r="C45" t="str">
        <f>CONCATENATE(613583,",",ROW(CCTTCR_06609!C45),"|",COLUMN(CCTTCR_06609!C45),",0",",0")</f>
        <v>613583,45|3,0,0</v>
      </c>
      <c r="D45" t="str">
        <f>CONCATENATE(613653,",",ROW(CCTTCR_06609!D45),"|",COLUMN(CCTTCR_06609!D45),",0",",0")</f>
        <v>613653,45|4,0,0</v>
      </c>
      <c r="E45" t="str">
        <f>CONCATENATE(613605,",",ROW(CCTTCR_06609!E45),"|",COLUMN(CCTTCR_06609!E45),",0",",0")</f>
        <v>613605,45|5,0,0</v>
      </c>
    </row>
    <row r="46" spans="1:5" x14ac:dyDescent="0.25">
      <c r="A46" t="str">
        <f>CONCATENATE(613761,",",ROW(CCTTCR_06609!A46),"|",COLUMN(CCTTCR_06609!A46),",0",",0")</f>
        <v>613761,46|1,0,0</v>
      </c>
      <c r="B46" t="str">
        <f>CONCATENATE(613661,",",ROW(CCTTCR_06609!B46),"|",COLUMN(CCTTCR_06609!B46),",0",",0")</f>
        <v>613661,46|2,0,0</v>
      </c>
      <c r="C46" t="str">
        <f>CONCATENATE(613748,",",ROW(CCTTCR_06609!C46),"|",COLUMN(CCTTCR_06609!C46),",0",",0")</f>
        <v>613748,46|3,0,0</v>
      </c>
      <c r="D46" t="str">
        <f>CONCATENATE(613694,",",ROW(CCTTCR_06609!D46),"|",COLUMN(CCTTCR_06609!D46),",0",",0")</f>
        <v>613694,46|4,0,0</v>
      </c>
      <c r="E46" t="str">
        <f>CONCATENATE(613788,",",ROW(CCTTCR_06609!E46),"|",COLUMN(CCTTCR_06609!E46),",0",",0")</f>
        <v>613788,46|5,0,0</v>
      </c>
    </row>
    <row r="47" spans="1:5" x14ac:dyDescent="0.25">
      <c r="A47" t="str">
        <f>CONCATENATE(613611,",",ROW(CCTTCR_06609!A47),"|",COLUMN(CCTTCR_06609!A47),",0",",0")</f>
        <v>613611,47|1,0,0</v>
      </c>
      <c r="B47" t="str">
        <f>CONCATENATE(613680,",",ROW(CCTTCR_06609!B47),"|",COLUMN(CCTTCR_06609!B47),",0",",0")</f>
        <v>613680,47|2,0,0</v>
      </c>
      <c r="C47" t="str">
        <f>CONCATENATE(613576,",",ROW(CCTTCR_06609!C47),"|",COLUMN(CCTTCR_06609!C47),",0",",0")</f>
        <v>613576,47|3,0,0</v>
      </c>
      <c r="D47" t="str">
        <f>CONCATENATE(613779,",",ROW(CCTTCR_06609!D47),"|",COLUMN(CCTTCR_06609!D47),",0",",0")</f>
        <v>613779,47|4,0,0</v>
      </c>
      <c r="E47" t="str">
        <f>CONCATENATE(613716,",",ROW(CCTTCR_06609!E47),"|",COLUMN(CCTTCR_06609!E47),",0",",0")</f>
        <v>613716,47|5,0,0</v>
      </c>
    </row>
    <row r="48" spans="1:5" x14ac:dyDescent="0.25">
      <c r="A48" t="str">
        <f>CONCATENATE(613762,",",ROW(CCTTCR_06609!A48),"|",COLUMN(CCTTCR_06609!A48),",0",",0")</f>
        <v>613762,48|1,0,0</v>
      </c>
      <c r="B48" t="str">
        <f>CONCATENATE(613662,",",ROW(CCTTCR_06609!B48),"|",COLUMN(CCTTCR_06609!B48),",0",",0")</f>
        <v>613662,48|2,0,0</v>
      </c>
      <c r="C48" t="str">
        <f>CONCATENATE(613749,",",ROW(CCTTCR_06609!C48),"|",COLUMN(CCTTCR_06609!C48),",0",",0")</f>
        <v>613749,48|3,0,0</v>
      </c>
      <c r="D48" t="str">
        <f>CONCATENATE(613695,",",ROW(CCTTCR_06609!D48),"|",COLUMN(CCTTCR_06609!D48),",0",",0")</f>
        <v>613695,48|4,0,0</v>
      </c>
      <c r="E48" t="str">
        <f>CONCATENATE(613789,",",ROW(CCTTCR_06609!E48),"|",COLUMN(CCTTCR_06609!E48),",0",",0")</f>
        <v>613789,48|5,0,0</v>
      </c>
    </row>
  </sheetData>
  <sheetProtection password="CB7D"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topLeftCell="A60" workbookViewId="0">
      <selection activeCell="G67" sqref="G67"/>
    </sheetView>
  </sheetViews>
  <sheetFormatPr defaultRowHeight="15" x14ac:dyDescent="0.25"/>
  <cols>
    <col min="1" max="1" width="31.28515625" bestFit="1" customWidth="1"/>
    <col min="2" max="2" width="7" customWidth="1"/>
    <col min="3" max="3" width="9.7109375" customWidth="1"/>
    <col min="4" max="4" width="20.5703125" customWidth="1"/>
    <col min="5" max="5" width="21.85546875" bestFit="1" customWidth="1"/>
  </cols>
  <sheetData>
    <row r="1" spans="1:5" ht="20.25" x14ac:dyDescent="0.3">
      <c r="A1" s="2214" t="s">
        <v>12</v>
      </c>
      <c r="B1" s="2214" t="s">
        <v>5</v>
      </c>
      <c r="C1" s="2214" t="s">
        <v>5</v>
      </c>
      <c r="D1" s="2214" t="s">
        <v>5</v>
      </c>
      <c r="E1" s="2214" t="s">
        <v>5</v>
      </c>
    </row>
    <row r="2" spans="1:5" ht="18.75" x14ac:dyDescent="0.3">
      <c r="A2" s="2212" t="s">
        <v>764</v>
      </c>
      <c r="B2" s="2215" t="s">
        <v>5</v>
      </c>
      <c r="C2" s="2215" t="s">
        <v>5</v>
      </c>
      <c r="D2" s="2215" t="s">
        <v>5</v>
      </c>
      <c r="E2" s="2215" t="s">
        <v>5</v>
      </c>
    </row>
    <row r="3" spans="1:5" ht="18.75" x14ac:dyDescent="0.3">
      <c r="A3" s="2215" t="s">
        <v>386</v>
      </c>
      <c r="B3" s="2215" t="s">
        <v>5</v>
      </c>
      <c r="C3" s="2215" t="s">
        <v>5</v>
      </c>
      <c r="D3" s="2215" t="s">
        <v>5</v>
      </c>
      <c r="E3" s="2215" t="s">
        <v>5</v>
      </c>
    </row>
    <row r="4" spans="1:5" ht="37.5" x14ac:dyDescent="0.25">
      <c r="A4" s="595" t="s">
        <v>383</v>
      </c>
      <c r="B4" s="595" t="s">
        <v>32</v>
      </c>
      <c r="C4" s="595" t="s">
        <v>33</v>
      </c>
      <c r="D4" s="595" t="s">
        <v>384</v>
      </c>
      <c r="E4" s="595" t="s">
        <v>385</v>
      </c>
    </row>
    <row r="5" spans="1:5" ht="16.5" x14ac:dyDescent="0.25">
      <c r="A5" s="743" t="s">
        <v>40</v>
      </c>
      <c r="B5" s="619" t="s">
        <v>113</v>
      </c>
      <c r="C5" s="721" t="s">
        <v>80</v>
      </c>
      <c r="D5" s="620" t="s">
        <v>222</v>
      </c>
      <c r="E5" s="722" t="s">
        <v>81</v>
      </c>
    </row>
    <row r="6" spans="1:5" ht="49.5" x14ac:dyDescent="0.25">
      <c r="A6" s="816" t="s">
        <v>496</v>
      </c>
      <c r="B6" s="727"/>
      <c r="C6" s="676"/>
      <c r="D6" s="599" t="s">
        <v>5</v>
      </c>
      <c r="E6" s="673" t="s">
        <v>5</v>
      </c>
    </row>
    <row r="7" spans="1:5" ht="66" x14ac:dyDescent="0.25">
      <c r="A7" s="723" t="s">
        <v>447</v>
      </c>
      <c r="B7" s="669" t="s">
        <v>222</v>
      </c>
      <c r="C7" s="628"/>
      <c r="D7" s="1795">
        <v>1363420691</v>
      </c>
      <c r="E7" s="1796">
        <v>174871065</v>
      </c>
    </row>
    <row r="8" spans="1:5" ht="49.5" x14ac:dyDescent="0.25">
      <c r="A8" s="662" t="s">
        <v>414</v>
      </c>
      <c r="B8" s="670" t="s">
        <v>421</v>
      </c>
      <c r="C8" s="709"/>
      <c r="D8" s="1795">
        <v>163300</v>
      </c>
      <c r="E8" s="1797">
        <v>1048908000</v>
      </c>
    </row>
    <row r="9" spans="1:5" ht="49.5" x14ac:dyDescent="0.25">
      <c r="A9" s="817" t="s">
        <v>497</v>
      </c>
      <c r="B9" s="766" t="s">
        <v>472</v>
      </c>
      <c r="C9" s="710"/>
      <c r="D9" s="1795">
        <v>395369050</v>
      </c>
      <c r="E9" s="1798">
        <v>-977063227</v>
      </c>
    </row>
    <row r="10" spans="1:5" ht="49.5" x14ac:dyDescent="0.25">
      <c r="A10" s="744" t="s">
        <v>460</v>
      </c>
      <c r="B10" s="783" t="s">
        <v>487</v>
      </c>
      <c r="C10" s="748"/>
      <c r="D10" s="1795">
        <v>967888341</v>
      </c>
      <c r="E10" s="1799">
        <v>103026292</v>
      </c>
    </row>
    <row r="11" spans="1:5" ht="66" x14ac:dyDescent="0.25">
      <c r="A11" s="663" t="s">
        <v>415</v>
      </c>
      <c r="B11" s="778" t="s">
        <v>336</v>
      </c>
      <c r="C11" s="598"/>
      <c r="D11" s="1795"/>
      <c r="E11" s="1800"/>
    </row>
    <row r="12" spans="1:5" ht="66" x14ac:dyDescent="0.25">
      <c r="A12" s="705" t="s">
        <v>437</v>
      </c>
      <c r="B12" s="671" t="s">
        <v>422</v>
      </c>
      <c r="C12" s="602"/>
      <c r="D12" s="1795">
        <v>2670525434</v>
      </c>
      <c r="E12" s="1801">
        <v>3484284708</v>
      </c>
    </row>
    <row r="13" spans="1:5" ht="49.5" x14ac:dyDescent="0.25">
      <c r="A13" s="724" t="s">
        <v>448</v>
      </c>
      <c r="B13" s="672" t="s">
        <v>378</v>
      </c>
      <c r="C13" s="603"/>
      <c r="D13" s="1795"/>
      <c r="E13" s="1802"/>
    </row>
    <row r="14" spans="1:5" ht="49.5" x14ac:dyDescent="0.25">
      <c r="A14" s="725" t="s">
        <v>449</v>
      </c>
      <c r="B14" s="784" t="s">
        <v>325</v>
      </c>
      <c r="C14" s="604"/>
      <c r="D14" s="1795"/>
      <c r="E14" s="1803"/>
    </row>
    <row r="15" spans="1:5" ht="49.5" x14ac:dyDescent="0.25">
      <c r="A15" s="818" t="s">
        <v>498</v>
      </c>
      <c r="B15" s="728" t="s">
        <v>451</v>
      </c>
      <c r="C15" s="605"/>
      <c r="D15" s="1795">
        <v>3240428408</v>
      </c>
      <c r="E15" s="1804">
        <v>10740757575</v>
      </c>
    </row>
    <row r="16" spans="1:5" ht="66" x14ac:dyDescent="0.25">
      <c r="A16" s="659" t="s">
        <v>411</v>
      </c>
      <c r="B16" s="767" t="s">
        <v>473</v>
      </c>
      <c r="C16" s="606"/>
      <c r="D16" s="1795"/>
      <c r="E16" s="1805"/>
    </row>
    <row r="17" spans="1:5" ht="49.5" x14ac:dyDescent="0.25">
      <c r="A17" s="819" t="s">
        <v>499</v>
      </c>
      <c r="B17" s="729" t="s">
        <v>452</v>
      </c>
      <c r="C17" s="607"/>
      <c r="D17" s="1795"/>
      <c r="E17" s="1806"/>
    </row>
    <row r="18" spans="1:5" ht="49.5" x14ac:dyDescent="0.25">
      <c r="A18" s="621" t="s">
        <v>394</v>
      </c>
      <c r="B18" s="730" t="s">
        <v>453</v>
      </c>
      <c r="C18" s="608"/>
      <c r="D18" s="1795">
        <v>221638696</v>
      </c>
      <c r="E18" s="1807">
        <v>288792969</v>
      </c>
    </row>
    <row r="19" spans="1:5" ht="49.5" x14ac:dyDescent="0.25">
      <c r="A19" s="622" t="s">
        <v>395</v>
      </c>
      <c r="B19" s="779" t="s">
        <v>484</v>
      </c>
      <c r="C19" s="609"/>
      <c r="D19" s="1795">
        <v>159727274</v>
      </c>
      <c r="E19" s="1808">
        <v>141727276</v>
      </c>
    </row>
    <row r="20" spans="1:5" ht="33" x14ac:dyDescent="0.25">
      <c r="A20" s="664" t="s">
        <v>416</v>
      </c>
      <c r="B20" s="692" t="s">
        <v>428</v>
      </c>
      <c r="C20" s="634"/>
      <c r="D20" s="1809">
        <v>3051000</v>
      </c>
      <c r="E20" s="1810">
        <v>2781000</v>
      </c>
    </row>
    <row r="21" spans="1:5" ht="49.5" x14ac:dyDescent="0.25">
      <c r="A21" s="678" t="s">
        <v>424</v>
      </c>
      <c r="B21" s="780" t="s">
        <v>485</v>
      </c>
      <c r="C21" s="635"/>
      <c r="D21" s="1811">
        <v>7658791503</v>
      </c>
      <c r="E21" s="1812">
        <v>14833214593</v>
      </c>
    </row>
    <row r="22" spans="1:5" ht="33" x14ac:dyDescent="0.25">
      <c r="A22" s="623" t="s">
        <v>396</v>
      </c>
      <c r="B22" s="594" t="s">
        <v>5</v>
      </c>
      <c r="C22" s="636"/>
      <c r="D22" s="757" t="s">
        <v>5</v>
      </c>
      <c r="E22" s="596" t="s">
        <v>5</v>
      </c>
    </row>
    <row r="23" spans="1:5" ht="66" x14ac:dyDescent="0.25">
      <c r="A23" s="624" t="s">
        <v>397</v>
      </c>
      <c r="B23" s="693" t="s">
        <v>380</v>
      </c>
      <c r="C23" s="637"/>
      <c r="D23" s="1813">
        <v>542853764</v>
      </c>
      <c r="E23" s="1814">
        <v>-145277312</v>
      </c>
    </row>
    <row r="24" spans="1:5" ht="49.5" x14ac:dyDescent="0.25">
      <c r="A24" s="679" t="s">
        <v>425</v>
      </c>
      <c r="B24" s="694" t="s">
        <v>316</v>
      </c>
      <c r="C24" s="638"/>
      <c r="D24" s="1815">
        <v>123456500</v>
      </c>
      <c r="E24" s="1816">
        <v>5202834000</v>
      </c>
    </row>
    <row r="25" spans="1:5" ht="49.5" x14ac:dyDescent="0.25">
      <c r="A25" s="759" t="s">
        <v>465</v>
      </c>
      <c r="B25" s="731" t="s">
        <v>454</v>
      </c>
      <c r="C25" s="639"/>
      <c r="D25" s="1817">
        <v>419397264</v>
      </c>
      <c r="E25" s="1818">
        <v>-5348111312</v>
      </c>
    </row>
    <row r="26" spans="1:5" ht="49.5" x14ac:dyDescent="0.25">
      <c r="A26" s="665" t="s">
        <v>417</v>
      </c>
      <c r="B26" s="732" t="s">
        <v>339</v>
      </c>
      <c r="C26" s="640"/>
      <c r="D26" s="1819">
        <v>0</v>
      </c>
      <c r="E26" s="1820"/>
    </row>
    <row r="27" spans="1:5" ht="49.5" x14ac:dyDescent="0.25">
      <c r="A27" s="690" t="s">
        <v>426</v>
      </c>
      <c r="B27" s="733" t="s">
        <v>317</v>
      </c>
      <c r="C27" s="641"/>
      <c r="D27" s="1821">
        <v>0</v>
      </c>
      <c r="E27" s="1822"/>
    </row>
    <row r="28" spans="1:5" ht="82.5" x14ac:dyDescent="0.25">
      <c r="A28" s="666" t="s">
        <v>418</v>
      </c>
      <c r="B28" s="781" t="s">
        <v>343</v>
      </c>
      <c r="C28" s="642"/>
      <c r="D28" s="1823">
        <v>0</v>
      </c>
      <c r="E28" s="1824"/>
    </row>
    <row r="29" spans="1:5" ht="115.5" x14ac:dyDescent="0.25">
      <c r="A29" s="745" t="s">
        <v>461</v>
      </c>
      <c r="B29" s="706" t="s">
        <v>438</v>
      </c>
      <c r="C29" s="643"/>
      <c r="D29" s="1825">
        <v>0</v>
      </c>
      <c r="E29" s="1826"/>
    </row>
    <row r="30" spans="1:5" ht="49.5" x14ac:dyDescent="0.25">
      <c r="A30" s="702" t="s">
        <v>434</v>
      </c>
      <c r="B30" s="707" t="s">
        <v>304</v>
      </c>
      <c r="C30" s="644"/>
      <c r="D30" s="1827">
        <v>0</v>
      </c>
      <c r="E30" s="1828"/>
    </row>
    <row r="31" spans="1:5" ht="49.5" x14ac:dyDescent="0.25">
      <c r="A31" s="703" t="s">
        <v>435</v>
      </c>
      <c r="B31" s="768" t="s">
        <v>474</v>
      </c>
      <c r="C31" s="645"/>
      <c r="D31" s="1829">
        <v>128549217</v>
      </c>
      <c r="E31" s="1830">
        <v>219691451</v>
      </c>
    </row>
    <row r="32" spans="1:5" ht="49.5" x14ac:dyDescent="0.25">
      <c r="A32" s="691" t="s">
        <v>427</v>
      </c>
      <c r="B32" s="695" t="s">
        <v>305</v>
      </c>
      <c r="C32" s="646"/>
      <c r="D32" s="1831">
        <v>2666644002</v>
      </c>
      <c r="E32" s="1832">
        <v>8130764693</v>
      </c>
    </row>
    <row r="33" spans="1:5" ht="66" x14ac:dyDescent="0.25">
      <c r="A33" s="760" t="s">
        <v>466</v>
      </c>
      <c r="B33" s="734" t="s">
        <v>306</v>
      </c>
      <c r="C33" s="647"/>
      <c r="D33" s="1833"/>
      <c r="E33" s="1834"/>
    </row>
    <row r="34" spans="1:5" ht="49.5" x14ac:dyDescent="0.25">
      <c r="A34" s="625" t="s">
        <v>398</v>
      </c>
      <c r="B34" s="735" t="s">
        <v>320</v>
      </c>
      <c r="C34" s="648"/>
      <c r="D34" s="1835"/>
      <c r="E34" s="1836"/>
    </row>
    <row r="35" spans="1:5" ht="49.5" x14ac:dyDescent="0.25">
      <c r="A35" s="746" t="s">
        <v>462</v>
      </c>
      <c r="B35" s="785" t="s">
        <v>301</v>
      </c>
      <c r="C35" s="649"/>
      <c r="D35" s="1837">
        <v>295411489</v>
      </c>
      <c r="E35" s="1838">
        <v>295262217</v>
      </c>
    </row>
    <row r="36" spans="1:5" ht="49.5" x14ac:dyDescent="0.25">
      <c r="A36" s="747" t="s">
        <v>463</v>
      </c>
      <c r="B36" s="736" t="s">
        <v>346</v>
      </c>
      <c r="C36" s="650"/>
      <c r="D36" s="1839">
        <v>285535448</v>
      </c>
      <c r="E36" s="1840">
        <v>195989194</v>
      </c>
    </row>
    <row r="37" spans="1:5" ht="33" x14ac:dyDescent="0.25">
      <c r="A37" s="667" t="s">
        <v>419</v>
      </c>
      <c r="B37" s="737" t="s">
        <v>308</v>
      </c>
      <c r="C37" s="820"/>
      <c r="D37" s="1841">
        <v>87268629</v>
      </c>
      <c r="E37" s="1842">
        <v>81286594</v>
      </c>
    </row>
    <row r="38" spans="1:5" ht="49.5" x14ac:dyDescent="0.25">
      <c r="A38" s="629" t="s">
        <v>399</v>
      </c>
      <c r="B38" s="786" t="s">
        <v>488</v>
      </c>
      <c r="C38" s="680"/>
      <c r="D38" s="1843">
        <v>4006262549</v>
      </c>
      <c r="E38" s="1844">
        <v>8777716837</v>
      </c>
    </row>
    <row r="39" spans="1:5" ht="49.5" x14ac:dyDescent="0.25">
      <c r="A39" s="775" t="s">
        <v>481</v>
      </c>
      <c r="B39" s="594" t="s">
        <v>5</v>
      </c>
      <c r="C39" s="681"/>
      <c r="D39" s="611" t="s">
        <v>5</v>
      </c>
      <c r="E39" s="821" t="s">
        <v>5</v>
      </c>
    </row>
    <row r="40" spans="1:5" ht="49.5" x14ac:dyDescent="0.25">
      <c r="A40" s="630" t="s">
        <v>400</v>
      </c>
      <c r="B40" s="787" t="s">
        <v>489</v>
      </c>
      <c r="C40" s="682"/>
      <c r="D40" s="1845"/>
      <c r="E40" s="1846"/>
    </row>
    <row r="41" spans="1:5" ht="66" x14ac:dyDescent="0.25">
      <c r="A41" s="631" t="s">
        <v>401</v>
      </c>
      <c r="B41" s="769" t="s">
        <v>475</v>
      </c>
      <c r="C41" s="683"/>
      <c r="D41" s="1847">
        <v>80145606</v>
      </c>
      <c r="E41" s="1848">
        <v>62098206</v>
      </c>
    </row>
    <row r="42" spans="1:5" ht="66" x14ac:dyDescent="0.25">
      <c r="A42" s="776" t="s">
        <v>482</v>
      </c>
      <c r="B42" s="708" t="s">
        <v>439</v>
      </c>
      <c r="C42" s="684"/>
      <c r="D42" s="1849"/>
      <c r="E42" s="1850"/>
    </row>
    <row r="43" spans="1:5" ht="33" x14ac:dyDescent="0.25">
      <c r="A43" s="711" t="s">
        <v>440</v>
      </c>
      <c r="B43" s="696" t="s">
        <v>429</v>
      </c>
      <c r="C43" s="685"/>
      <c r="D43" s="1851"/>
      <c r="E43" s="1852"/>
    </row>
    <row r="44" spans="1:5" ht="49.5" x14ac:dyDescent="0.25">
      <c r="A44" s="632" t="s">
        <v>402</v>
      </c>
      <c r="B44" s="788" t="s">
        <v>490</v>
      </c>
      <c r="C44" s="686"/>
      <c r="D44" s="1853">
        <v>80145606</v>
      </c>
      <c r="E44" s="1854">
        <v>62098206</v>
      </c>
    </row>
    <row r="45" spans="1:5" ht="33" x14ac:dyDescent="0.25">
      <c r="A45" s="712" t="s">
        <v>441</v>
      </c>
      <c r="B45" s="594" t="s">
        <v>5</v>
      </c>
      <c r="C45" s="687"/>
      <c r="D45" s="612"/>
      <c r="E45" s="749"/>
    </row>
    <row r="46" spans="1:5" ht="49.5" x14ac:dyDescent="0.25">
      <c r="A46" s="822" t="s">
        <v>500</v>
      </c>
      <c r="B46" s="697" t="s">
        <v>430</v>
      </c>
      <c r="C46" s="688"/>
      <c r="D46" s="1855"/>
      <c r="E46" s="1856"/>
    </row>
    <row r="47" spans="1:5" ht="33" x14ac:dyDescent="0.25">
      <c r="A47" s="613" t="s">
        <v>388</v>
      </c>
      <c r="B47" s="789" t="s">
        <v>491</v>
      </c>
      <c r="C47" s="689"/>
      <c r="D47" s="1857"/>
      <c r="E47" s="1858"/>
    </row>
    <row r="48" spans="1:5" ht="66" x14ac:dyDescent="0.25">
      <c r="A48" s="761" t="s">
        <v>467</v>
      </c>
      <c r="B48" s="790" t="s">
        <v>492</v>
      </c>
      <c r="C48" s="600"/>
      <c r="D48" s="1859"/>
      <c r="E48" s="1860"/>
    </row>
    <row r="49" spans="1:5" ht="66" x14ac:dyDescent="0.25">
      <c r="A49" s="713" t="s">
        <v>442</v>
      </c>
      <c r="B49" s="772" t="s">
        <v>478</v>
      </c>
      <c r="C49" s="601"/>
      <c r="D49" s="1861">
        <v>637404082</v>
      </c>
      <c r="E49" s="1862">
        <v>-1334453633</v>
      </c>
    </row>
    <row r="50" spans="1:5" ht="33" x14ac:dyDescent="0.25">
      <c r="A50" s="614" t="s">
        <v>389</v>
      </c>
      <c r="B50" s="770" t="s">
        <v>476</v>
      </c>
      <c r="C50" s="750"/>
      <c r="D50" s="1863"/>
      <c r="E50" s="1864"/>
    </row>
    <row r="51" spans="1:5" ht="49.5" x14ac:dyDescent="0.25">
      <c r="A51" s="762" t="s">
        <v>468</v>
      </c>
      <c r="B51" s="771" t="s">
        <v>477</v>
      </c>
      <c r="C51" s="792"/>
      <c r="D51" s="1865">
        <v>637404082</v>
      </c>
      <c r="E51" s="1866">
        <v>-1334453633</v>
      </c>
    </row>
    <row r="52" spans="1:5" ht="33" x14ac:dyDescent="0.25">
      <c r="A52" s="615" t="s">
        <v>390</v>
      </c>
      <c r="B52" s="738" t="s">
        <v>455</v>
      </c>
      <c r="C52" s="793"/>
      <c r="D52" s="1867"/>
      <c r="E52" s="1868"/>
    </row>
    <row r="53" spans="1:5" ht="66" x14ac:dyDescent="0.25">
      <c r="A53" s="655" t="s">
        <v>407</v>
      </c>
      <c r="B53" s="698" t="s">
        <v>431</v>
      </c>
      <c r="C53" s="794"/>
      <c r="D53" s="1869">
        <v>3802194079</v>
      </c>
      <c r="E53" s="1870">
        <v>3812782969</v>
      </c>
    </row>
    <row r="54" spans="1:5" ht="66" x14ac:dyDescent="0.25">
      <c r="A54" s="675" t="s">
        <v>423</v>
      </c>
      <c r="B54" s="651" t="s">
        <v>404</v>
      </c>
      <c r="C54" s="795"/>
      <c r="D54" s="1871">
        <v>-706923601</v>
      </c>
      <c r="E54" s="1872">
        <v>3639266626</v>
      </c>
    </row>
    <row r="55" spans="1:5" ht="49.5" x14ac:dyDescent="0.25">
      <c r="A55" s="656" t="s">
        <v>408</v>
      </c>
      <c r="B55" s="594" t="s">
        <v>5</v>
      </c>
      <c r="C55" s="796"/>
      <c r="D55" s="674"/>
      <c r="E55" s="677"/>
    </row>
    <row r="56" spans="1:5" ht="33" x14ac:dyDescent="0.25">
      <c r="A56" s="633" t="s">
        <v>403</v>
      </c>
      <c r="B56" s="652" t="s">
        <v>405</v>
      </c>
      <c r="C56" s="797"/>
      <c r="D56" s="1873">
        <v>1014545</v>
      </c>
      <c r="E56" s="1874">
        <v>904545</v>
      </c>
    </row>
    <row r="57" spans="1:5" ht="33" x14ac:dyDescent="0.25">
      <c r="A57" s="657" t="s">
        <v>409</v>
      </c>
      <c r="B57" s="791" t="s">
        <v>493</v>
      </c>
      <c r="C57" s="798"/>
      <c r="D57" s="1875"/>
      <c r="E57" s="1876"/>
    </row>
    <row r="58" spans="1:5" ht="49.5" x14ac:dyDescent="0.25">
      <c r="A58" s="610" t="s">
        <v>387</v>
      </c>
      <c r="B58" s="716" t="s">
        <v>444</v>
      </c>
      <c r="C58" s="799"/>
      <c r="D58" s="1877">
        <v>1014545</v>
      </c>
      <c r="E58" s="1878">
        <v>904545</v>
      </c>
    </row>
    <row r="59" spans="1:5" ht="66" x14ac:dyDescent="0.25">
      <c r="A59" s="758" t="s">
        <v>464</v>
      </c>
      <c r="B59" s="717" t="s">
        <v>445</v>
      </c>
      <c r="C59" s="800"/>
      <c r="D59" s="1879">
        <v>-705909056</v>
      </c>
      <c r="E59" s="1880">
        <v>3640171171</v>
      </c>
    </row>
    <row r="60" spans="1:5" ht="33" x14ac:dyDescent="0.25">
      <c r="A60" s="803" t="s">
        <v>494</v>
      </c>
      <c r="B60" s="739" t="s">
        <v>456</v>
      </c>
      <c r="C60" s="801"/>
      <c r="D60" s="1881">
        <v>-681880842</v>
      </c>
      <c r="E60" s="1882">
        <v>-730876914</v>
      </c>
    </row>
    <row r="61" spans="1:5" ht="33" x14ac:dyDescent="0.25">
      <c r="A61" s="763" t="s">
        <v>469</v>
      </c>
      <c r="B61" s="773" t="s">
        <v>479</v>
      </c>
      <c r="C61" s="802"/>
      <c r="D61" s="1883">
        <v>-24028214</v>
      </c>
      <c r="E61" s="1884">
        <v>4371048085</v>
      </c>
    </row>
    <row r="62" spans="1:5" ht="33" x14ac:dyDescent="0.25">
      <c r="A62" s="782" t="s">
        <v>486</v>
      </c>
      <c r="B62" s="699" t="s">
        <v>432</v>
      </c>
      <c r="C62" s="804"/>
      <c r="D62" s="1885"/>
      <c r="E62" s="1886"/>
    </row>
    <row r="63" spans="1:5" ht="49.5" x14ac:dyDescent="0.25">
      <c r="A63" s="616" t="s">
        <v>391</v>
      </c>
      <c r="B63" s="740" t="s">
        <v>457</v>
      </c>
      <c r="C63" s="805"/>
      <c r="D63" s="1887"/>
      <c r="E63" s="1888"/>
    </row>
    <row r="64" spans="1:5" ht="49.5" x14ac:dyDescent="0.25">
      <c r="A64" s="658" t="s">
        <v>410</v>
      </c>
      <c r="B64" s="653" t="s">
        <v>406</v>
      </c>
      <c r="C64" s="806"/>
      <c r="D64" s="1889"/>
      <c r="E64" s="1890"/>
    </row>
    <row r="65" spans="1:5" ht="66" x14ac:dyDescent="0.25">
      <c r="A65" s="660" t="s">
        <v>412</v>
      </c>
      <c r="B65" s="700" t="s">
        <v>90</v>
      </c>
      <c r="C65" s="807"/>
      <c r="D65" s="1891">
        <v>-705909056</v>
      </c>
      <c r="E65" s="1892">
        <v>3640171171</v>
      </c>
    </row>
    <row r="66" spans="1:5" ht="66" x14ac:dyDescent="0.25">
      <c r="A66" s="617" t="s">
        <v>392</v>
      </c>
      <c r="B66" s="718" t="s">
        <v>255</v>
      </c>
      <c r="C66" s="808"/>
      <c r="D66" s="1889"/>
      <c r="E66" s="715"/>
    </row>
    <row r="67" spans="1:5" ht="66" x14ac:dyDescent="0.25">
      <c r="A67" s="661" t="s">
        <v>413</v>
      </c>
      <c r="B67" s="741" t="s">
        <v>458</v>
      </c>
      <c r="C67" s="809"/>
      <c r="D67" s="1889"/>
      <c r="E67" s="654"/>
    </row>
    <row r="68" spans="1:5" ht="66" x14ac:dyDescent="0.25">
      <c r="A68" s="704" t="s">
        <v>436</v>
      </c>
      <c r="B68" s="774" t="s">
        <v>480</v>
      </c>
      <c r="C68" s="810"/>
      <c r="D68" s="1889"/>
      <c r="E68" s="597"/>
    </row>
    <row r="69" spans="1:5" ht="66" x14ac:dyDescent="0.25">
      <c r="A69" s="764" t="s">
        <v>470</v>
      </c>
      <c r="B69" s="701" t="s">
        <v>433</v>
      </c>
      <c r="C69" s="811"/>
      <c r="D69" s="1889"/>
      <c r="E69" s="751"/>
    </row>
    <row r="70" spans="1:5" ht="33" x14ac:dyDescent="0.25">
      <c r="A70" s="618" t="s">
        <v>393</v>
      </c>
      <c r="B70" s="815" t="s">
        <v>495</v>
      </c>
      <c r="C70" s="812"/>
      <c r="D70" s="1889"/>
      <c r="E70" s="752"/>
    </row>
    <row r="71" spans="1:5" ht="49.5" x14ac:dyDescent="0.25">
      <c r="A71" s="668" t="s">
        <v>420</v>
      </c>
      <c r="B71" s="719" t="s">
        <v>271</v>
      </c>
      <c r="C71" s="813"/>
      <c r="D71" s="1889"/>
      <c r="E71" s="753"/>
    </row>
    <row r="72" spans="1:5" ht="82.5" x14ac:dyDescent="0.25">
      <c r="A72" s="765" t="s">
        <v>471</v>
      </c>
      <c r="B72" s="742" t="s">
        <v>459</v>
      </c>
      <c r="C72" s="814"/>
      <c r="D72" s="1889"/>
      <c r="E72" s="754"/>
    </row>
    <row r="73" spans="1:5" ht="66" x14ac:dyDescent="0.25">
      <c r="A73" s="777" t="s">
        <v>483</v>
      </c>
      <c r="B73" s="720" t="s">
        <v>446</v>
      </c>
      <c r="C73" s="626"/>
      <c r="D73" s="1889"/>
      <c r="E73" s="755"/>
    </row>
    <row r="74" spans="1:5" ht="49.5" x14ac:dyDescent="0.25">
      <c r="A74" s="726" t="s">
        <v>450</v>
      </c>
      <c r="B74" s="714" t="s">
        <v>443</v>
      </c>
      <c r="C74" s="627"/>
      <c r="D74" s="1889"/>
      <c r="E74" s="756"/>
    </row>
  </sheetData>
  <mergeCells count="3">
    <mergeCell ref="A1:E1"/>
    <mergeCell ref="A2:E2"/>
    <mergeCell ref="A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74"/>
  <sheetViews>
    <sheetView workbookViewId="0"/>
  </sheetViews>
  <sheetFormatPr defaultRowHeight="15" x14ac:dyDescent="0.25"/>
  <cols>
    <col min="1" max="1" width="1" style="823" bestFit="1" customWidth="1"/>
    <col min="2" max="5" width="1" bestFit="1" customWidth="1"/>
  </cols>
  <sheetData>
    <row r="5" spans="1:5" x14ac:dyDescent="0.25">
      <c r="A5" t="str">
        <f>CONCATENATE(613140,",",ROW(BCKQHDR_06610!A5),"|",COLUMN(BCKQHDR_06610!A5),",0",",0")</f>
        <v>613140,5|1,0,0</v>
      </c>
      <c r="B5" t="str">
        <f>CONCATENATE(612892,",",ROW(BCKQHDR_06610!B5),"|",COLUMN(BCKQHDR_06610!B5),",0",",0")</f>
        <v>612892,5|2,0,0</v>
      </c>
      <c r="C5" t="str">
        <f>CONCATENATE(613118,",",ROW(BCKQHDR_06610!C5),"|",COLUMN(BCKQHDR_06610!C5),",0",",0")</f>
        <v>613118,5|3,0,0</v>
      </c>
      <c r="D5" t="str">
        <f>CONCATENATE(612893,",",ROW(BCKQHDR_06610!D5),"|",COLUMN(BCKQHDR_06610!D5),",0",",0")</f>
        <v>612893,5|4,0,0</v>
      </c>
      <c r="E5" t="str">
        <f>CONCATENATE(613119,",",ROW(BCKQHDR_06610!E5),"|",COLUMN(BCKQHDR_06610!E5),",0",",0")</f>
        <v>613119,5|5,0,0</v>
      </c>
    </row>
    <row r="6" spans="1:5" x14ac:dyDescent="0.25">
      <c r="A6" t="str">
        <f>CONCATENATE(613036,",",ROW(BCKQHDR_06610!A6),"|",COLUMN(BCKQHDR_06610!A6),",0",",0")</f>
        <v>613036,6|1,0,0</v>
      </c>
      <c r="B6" t="str">
        <f>CONCATENATE(613124,",",ROW(BCKQHDR_06610!B6),"|",COLUMN(BCKQHDR_06610!B6),",0",",0")</f>
        <v>613124,6|2,0,0</v>
      </c>
      <c r="C6" t="str">
        <f>CONCATENATE(613051,",",ROW(BCKQHDR_06610!C6),"|",COLUMN(BCKQHDR_06610!C6),",0",",0")</f>
        <v>613051,6|3,0,0</v>
      </c>
      <c r="D6" t="str">
        <f>CONCATENATE(612855,",",ROW(BCKQHDR_06610!D6),"|",COLUMN(BCKQHDR_06610!D6),",0",",0")</f>
        <v>612855,6|4,0,0</v>
      </c>
      <c r="E6" t="str">
        <f>CONCATENATE(612956,",",ROW(BCKQHDR_06610!E6),"|",COLUMN(BCKQHDR_06610!E6),",0",",0")</f>
        <v>612956,6|5,0,0</v>
      </c>
    </row>
    <row r="7" spans="1:5" x14ac:dyDescent="0.25">
      <c r="A7" t="str">
        <f>CONCATENATE(613120,",",ROW(BCKQHDR_06610!A7),"|",COLUMN(BCKQHDR_06610!A7),",0",",0")</f>
        <v>613120,7|1,0,0</v>
      </c>
      <c r="B7" t="str">
        <f>CONCATENATE(612950,",",ROW(BCKQHDR_06610!B7),"|",COLUMN(BCKQHDR_06610!B7),",0",",0")</f>
        <v>612950,7|2,0,0</v>
      </c>
      <c r="C7" t="str">
        <f>CONCATENATE(612909,",",ROW(BCKQHDR_06610!C7),"|",COLUMN(BCKQHDR_06610!C7),",0",",0")</f>
        <v>612909,7|3,0,0</v>
      </c>
      <c r="D7" t="str">
        <f>CONCATENATE(612985,",",ROW(BCKQHDR_06610!D7),"|",COLUMN(BCKQHDR_06610!D7),",0",",0")</f>
        <v>612985,7|4,0,0</v>
      </c>
      <c r="E7" t="str">
        <f>CONCATENATE(613160,",",ROW(BCKQHDR_06610!E7),"|",COLUMN(BCKQHDR_06610!E7),",0",",0")</f>
        <v>613160,7|5,0,0</v>
      </c>
    </row>
    <row r="8" spans="1:5" x14ac:dyDescent="0.25">
      <c r="A8" t="str">
        <f>CONCATENATE(612943,",",ROW(BCKQHDR_06610!A8),"|",COLUMN(BCKQHDR_06610!A8),",0",",0")</f>
        <v>612943,8|1,0,0</v>
      </c>
      <c r="B8" t="str">
        <f>CONCATENATE(612951,",",ROW(BCKQHDR_06610!B8),"|",COLUMN(BCKQHDR_06610!B8),",0",",0")</f>
        <v>612951,8|2,0,0</v>
      </c>
      <c r="C8" t="str">
        <f>CONCATENATE(613105,",",ROW(BCKQHDR_06610!C8),"|",COLUMN(BCKQHDR_06610!C8),",0",",0")</f>
        <v>613105,8|3,0,0</v>
      </c>
      <c r="D8" t="str">
        <f>CONCATENATE(612986,",",ROW(BCKQHDR_06610!D8),"|",COLUMN(BCKQHDR_06610!D8),",0",",0")</f>
        <v>612986,8|4,0,0</v>
      </c>
      <c r="E8" t="str">
        <f>CONCATENATE(613161,",",ROW(BCKQHDR_06610!E8),"|",COLUMN(BCKQHDR_06610!E8),",0",",0")</f>
        <v>613161,8|5,0,0</v>
      </c>
    </row>
    <row r="9" spans="1:5" x14ac:dyDescent="0.25">
      <c r="A9" t="str">
        <f>CONCATENATE(613037,",",ROW(BCKQHDR_06610!A9),"|",COLUMN(BCKQHDR_06610!A9),",0",",0")</f>
        <v>613037,9|1,0,0</v>
      </c>
      <c r="B9" t="str">
        <f>CONCATENATE(613086,",",ROW(BCKQHDR_06610!B9),"|",COLUMN(BCKQHDR_06610!B9),",0",",0")</f>
        <v>613086,9|2,0,0</v>
      </c>
      <c r="C9" t="str">
        <f>CONCATENATE(613106,",",ROW(BCKQHDR_06610!C9),"|",COLUMN(BCKQHDR_06610!C9),",0",",0")</f>
        <v>613106,9|3,0,0</v>
      </c>
      <c r="D9" t="str">
        <f>CONCATENATE(612987,",",ROW(BCKQHDR_06610!D9),"|",COLUMN(BCKQHDR_06610!D9),",0",",0")</f>
        <v>612987,9|4,0,0</v>
      </c>
      <c r="E9" t="str">
        <f>CONCATENATE(613162,",",ROW(BCKQHDR_06610!E9),"|",COLUMN(BCKQHDR_06610!E9),",0",",0")</f>
        <v>613162,9|5,0,0</v>
      </c>
    </row>
    <row r="10" spans="1:5" x14ac:dyDescent="0.25">
      <c r="A10" t="str">
        <f>CONCATENATE(613141,",",ROW(BCKQHDR_06610!A10),"|",COLUMN(BCKQHDR_06610!A10),",0",",0")</f>
        <v>613141,10|1,0,0</v>
      </c>
      <c r="B10" t="str">
        <f>CONCATENATE(613004,",",ROW(BCKQHDR_06610!B10),"|",COLUMN(BCKQHDR_06610!B10),",0",",0")</f>
        <v>613004,10|2,0,0</v>
      </c>
      <c r="C10" t="str">
        <f>CONCATENATE(613145,",",ROW(BCKQHDR_06610!C10),"|",COLUMN(BCKQHDR_06610!C10),",0",",0")</f>
        <v>613145,10|3,0,0</v>
      </c>
      <c r="D10" t="str">
        <f>CONCATENATE(612988,",",ROW(BCKQHDR_06610!D10),"|",COLUMN(BCKQHDR_06610!D10),",0",",0")</f>
        <v>612988,10|4,0,0</v>
      </c>
      <c r="E10" t="str">
        <f>CONCATENATE(613163,",",ROW(BCKQHDR_06610!E10),"|",COLUMN(BCKQHDR_06610!E10),",0",",0")</f>
        <v>613163,10|5,0,0</v>
      </c>
    </row>
    <row r="11" spans="1:5" x14ac:dyDescent="0.25">
      <c r="A11" t="str">
        <f>CONCATENATE(612944,",",ROW(BCKQHDR_06610!A11),"|",COLUMN(BCKQHDR_06610!A11),",0",",0")</f>
        <v>612944,11|1,0,0</v>
      </c>
      <c r="B11" t="str">
        <f>CONCATENATE(613098,",",ROW(BCKQHDR_06610!B11),"|",COLUMN(BCKQHDR_06610!B11),",0",",0")</f>
        <v>613098,11|2,0,0</v>
      </c>
      <c r="C11" t="str">
        <f>CONCATENATE(612853,",",ROW(BCKQHDR_06610!C11),"|",COLUMN(BCKQHDR_06610!C11),",0",",0")</f>
        <v>612853,11|3,0,0</v>
      </c>
      <c r="D11" t="str">
        <f>CONCATENATE(612989,",",ROW(BCKQHDR_06610!D11),"|",COLUMN(BCKQHDR_06610!D11),",0",",0")</f>
        <v>612989,11|4,0,0</v>
      </c>
      <c r="E11" t="str">
        <f>CONCATENATE(613164,",",ROW(BCKQHDR_06610!E11),"|",COLUMN(BCKQHDR_06610!E11),",0",",0")</f>
        <v>613164,11|5,0,0</v>
      </c>
    </row>
    <row r="12" spans="1:5" x14ac:dyDescent="0.25">
      <c r="A12" t="str">
        <f>CONCATENATE(613078,",",ROW(BCKQHDR_06610!A12),"|",COLUMN(BCKQHDR_06610!A12),",0",",0")</f>
        <v>613078,12|1,0,0</v>
      </c>
      <c r="B12" t="str">
        <f>CONCATENATE(612952,",",ROW(BCKQHDR_06610!B12),"|",COLUMN(BCKQHDR_06610!B12),",0",",0")</f>
        <v>612952,12|2,0,0</v>
      </c>
      <c r="C12" t="str">
        <f>CONCATENATE(612858,",",ROW(BCKQHDR_06610!C12),"|",COLUMN(BCKQHDR_06610!C12),",0",",0")</f>
        <v>612858,12|3,0,0</v>
      </c>
      <c r="D12" t="str">
        <f>CONCATENATE(612990,",",ROW(BCKQHDR_06610!D12),"|",COLUMN(BCKQHDR_06610!D12),",0",",0")</f>
        <v>612990,12|4,0,0</v>
      </c>
      <c r="E12" t="str">
        <f>CONCATENATE(613165,",",ROW(BCKQHDR_06610!E12),"|",COLUMN(BCKQHDR_06610!E12),",0",",0")</f>
        <v>613165,12|5,0,0</v>
      </c>
    </row>
    <row r="13" spans="1:5" x14ac:dyDescent="0.25">
      <c r="A13" t="str">
        <f>CONCATENATE(613121,",",ROW(BCKQHDR_06610!A13),"|",COLUMN(BCKQHDR_06610!A13),",0",",0")</f>
        <v>613121,13|1,0,0</v>
      </c>
      <c r="B13" t="str">
        <f>CONCATENATE(612953,",",ROW(BCKQHDR_06610!B13),"|",COLUMN(BCKQHDR_06610!B13),",0",",0")</f>
        <v>612953,13|2,0,0</v>
      </c>
      <c r="C13" t="str">
        <f>CONCATENATE(612859,",",ROW(BCKQHDR_06610!C13),"|",COLUMN(BCKQHDR_06610!C13),",0",",0")</f>
        <v>612859,13|3,0,0</v>
      </c>
      <c r="D13" t="str">
        <f>CONCATENATE(612991,",",ROW(BCKQHDR_06610!D13),"|",COLUMN(BCKQHDR_06610!D13),",0",",0")</f>
        <v>612991,13|4,0,0</v>
      </c>
      <c r="E13" t="str">
        <f>CONCATENATE(613166,",",ROW(BCKQHDR_06610!E13),"|",COLUMN(BCKQHDR_06610!E13),",0",",0")</f>
        <v>613166,13|5,0,0</v>
      </c>
    </row>
    <row r="14" spans="1:5" x14ac:dyDescent="0.25">
      <c r="A14" t="str">
        <f>CONCATENATE(613122,",",ROW(BCKQHDR_06610!A14),"|",COLUMN(BCKQHDR_06610!A14),",0",",0")</f>
        <v>613122,14|1,0,0</v>
      </c>
      <c r="B14" t="str">
        <f>CONCATENATE(613005,",",ROW(BCKQHDR_06610!B14),"|",COLUMN(BCKQHDR_06610!B14),",0",",0")</f>
        <v>613005,14|2,0,0</v>
      </c>
      <c r="C14" t="str">
        <f>CONCATENATE(612860,",",ROW(BCKQHDR_06610!C14),"|",COLUMN(BCKQHDR_06610!C14),",0",",0")</f>
        <v>612860,14|3,0,0</v>
      </c>
      <c r="D14" t="str">
        <f>CONCATENATE(612902,",",ROW(BCKQHDR_06610!D14),"|",COLUMN(BCKQHDR_06610!D14),",0",",0")</f>
        <v>612902,14|4,0,0</v>
      </c>
      <c r="E14" t="str">
        <f>CONCATENATE(613167,",",ROW(BCKQHDR_06610!E14),"|",COLUMN(BCKQHDR_06610!E14),",0",",0")</f>
        <v>613167,14|5,0,0</v>
      </c>
    </row>
    <row r="15" spans="1:5" x14ac:dyDescent="0.25">
      <c r="A15" t="str">
        <f>CONCATENATE(613038,",",ROW(BCKQHDR_06610!A15),"|",COLUMN(BCKQHDR_06610!A15),",0",",0")</f>
        <v>613038,15|1,0,0</v>
      </c>
      <c r="B15" t="str">
        <f>CONCATENATE(613125,",",ROW(BCKQHDR_06610!B15),"|",COLUMN(BCKQHDR_06610!B15),",0",",0")</f>
        <v>613125,15|2,0,0</v>
      </c>
      <c r="C15" t="str">
        <f>CONCATENATE(612861,",",ROW(BCKQHDR_06610!C15),"|",COLUMN(BCKQHDR_06610!C15),",0",",0")</f>
        <v>612861,15|3,0,0</v>
      </c>
      <c r="D15" t="str">
        <f>CONCATENATE(612903,",",ROW(BCKQHDR_06610!D15),"|",COLUMN(BCKQHDR_06610!D15),",0",",0")</f>
        <v>612903,15|4,0,0</v>
      </c>
      <c r="E15" t="str">
        <f>CONCATENATE(613168,",",ROW(BCKQHDR_06610!E15),"|",COLUMN(BCKQHDR_06610!E15),",0",",0")</f>
        <v>613168,15|5,0,0</v>
      </c>
    </row>
    <row r="16" spans="1:5" x14ac:dyDescent="0.25">
      <c r="A16" t="str">
        <f>CONCATENATE(612940,",",ROW(BCKQHDR_06610!A16),"|",COLUMN(BCKQHDR_06610!A16),",0",",0")</f>
        <v>612940,16|1,0,0</v>
      </c>
      <c r="B16" t="str">
        <f>CONCATENATE(613087,",",ROW(BCKQHDR_06610!B16),"|",COLUMN(BCKQHDR_06610!B16),",0",",0")</f>
        <v>613087,16|2,0,0</v>
      </c>
      <c r="C16" t="str">
        <f>CONCATENATE(612862,",",ROW(BCKQHDR_06610!C16),"|",COLUMN(BCKQHDR_06610!C16),",0",",0")</f>
        <v>612862,16|3,0,0</v>
      </c>
      <c r="D16" t="str">
        <f>CONCATENATE(612904,",",ROW(BCKQHDR_06610!D16),"|",COLUMN(BCKQHDR_06610!D16),",0",",0")</f>
        <v>612904,16|4,0,0</v>
      </c>
      <c r="E16" t="str">
        <f>CONCATENATE(613169,",",ROW(BCKQHDR_06610!E16),"|",COLUMN(BCKQHDR_06610!E16),",0",",0")</f>
        <v>613169,16|5,0,0</v>
      </c>
    </row>
    <row r="17" spans="1:5" x14ac:dyDescent="0.25">
      <c r="A17" t="str">
        <f>CONCATENATE(613039,",",ROW(BCKQHDR_06610!A17),"|",COLUMN(BCKQHDR_06610!A17),",0",",0")</f>
        <v>613039,17|1,0,0</v>
      </c>
      <c r="B17" t="str">
        <f>CONCATENATE(613126,",",ROW(BCKQHDR_06610!B17),"|",COLUMN(BCKQHDR_06610!B17),",0",",0")</f>
        <v>613126,17|2,0,0</v>
      </c>
      <c r="C17" t="str">
        <f>CONCATENATE(612863,",",ROW(BCKQHDR_06610!C17),"|",COLUMN(BCKQHDR_06610!C17),",0",",0")</f>
        <v>612863,17|3,0,0</v>
      </c>
      <c r="D17" t="str">
        <f>CONCATENATE(612905,",",ROW(BCKQHDR_06610!D17),"|",COLUMN(BCKQHDR_06610!D17),",0",",0")</f>
        <v>612905,17|4,0,0</v>
      </c>
      <c r="E17" t="str">
        <f>CONCATENATE(613170,",",ROW(BCKQHDR_06610!E17),"|",COLUMN(BCKQHDR_06610!E17),",0",",0")</f>
        <v>613170,17|5,0,0</v>
      </c>
    </row>
    <row r="18" spans="1:5" x14ac:dyDescent="0.25">
      <c r="A18" t="str">
        <f>CONCATENATE(612894,",",ROW(BCKQHDR_06610!A18),"|",COLUMN(BCKQHDR_06610!A18),",0",",0")</f>
        <v>612894,18|1,0,0</v>
      </c>
      <c r="B18" t="str">
        <f>CONCATENATE(613127,",",ROW(BCKQHDR_06610!B18),"|",COLUMN(BCKQHDR_06610!B18),",0",",0")</f>
        <v>613127,18|2,0,0</v>
      </c>
      <c r="C18" t="str">
        <f>CONCATENATE(612864,",",ROW(BCKQHDR_06610!C18),"|",COLUMN(BCKQHDR_06610!C18),",0",",0")</f>
        <v>612864,18|3,0,0</v>
      </c>
      <c r="D18" t="str">
        <f>CONCATENATE(612906,",",ROW(BCKQHDR_06610!D18),"|",COLUMN(BCKQHDR_06610!D18),",0",",0")</f>
        <v>612906,18|4,0,0</v>
      </c>
      <c r="E18" t="str">
        <f>CONCATENATE(613171,",",ROW(BCKQHDR_06610!E18),"|",COLUMN(BCKQHDR_06610!E18),",0",",0")</f>
        <v>613171,18|5,0,0</v>
      </c>
    </row>
    <row r="19" spans="1:5" x14ac:dyDescent="0.25">
      <c r="A19" t="str">
        <f>CONCATENATE(612895,",",ROW(BCKQHDR_06610!A19),"|",COLUMN(BCKQHDR_06610!A19),",0",",0")</f>
        <v>612895,19|1,0,0</v>
      </c>
      <c r="B19" t="str">
        <f>CONCATENATE(613099,",",ROW(BCKQHDR_06610!B19),"|",COLUMN(BCKQHDR_06610!B19),",0",",0")</f>
        <v>613099,19|2,0,0</v>
      </c>
      <c r="C19" t="str">
        <f>CONCATENATE(612865,",",ROW(BCKQHDR_06610!C19),"|",COLUMN(BCKQHDR_06610!C19),",0",",0")</f>
        <v>612865,19|3,0,0</v>
      </c>
      <c r="D19" t="str">
        <f>CONCATENATE(612992,",",ROW(BCKQHDR_06610!D19),"|",COLUMN(BCKQHDR_06610!D19),",0",",0")</f>
        <v>612992,19|4,0,0</v>
      </c>
      <c r="E19" t="str">
        <f>CONCATENATE(613172,",",ROW(BCKQHDR_06610!E19),"|",COLUMN(BCKQHDR_06610!E19),",0",",0")</f>
        <v>613172,19|5,0,0</v>
      </c>
    </row>
    <row r="20" spans="1:5" x14ac:dyDescent="0.25">
      <c r="A20" t="str">
        <f>CONCATENATE(612945,",",ROW(BCKQHDR_06610!A20),"|",COLUMN(BCKQHDR_06610!A20),",0",",0")</f>
        <v>612945,20|1,0,0</v>
      </c>
      <c r="B20" t="str">
        <f>CONCATENATE(613064,",",ROW(BCKQHDR_06610!B20),"|",COLUMN(BCKQHDR_06610!B20),",0",",0")</f>
        <v>613064,20|2,0,0</v>
      </c>
      <c r="C20" t="str">
        <f>CONCATENATE(612915,",",ROW(BCKQHDR_06610!C20),"|",COLUMN(BCKQHDR_06610!C20),",0",",0")</f>
        <v>612915,20|3,0,0</v>
      </c>
      <c r="D20" t="str">
        <f>CONCATENATE(612993,",",ROW(BCKQHDR_06610!D20),"|",COLUMN(BCKQHDR_06610!D20),",0",",0")</f>
        <v>612993,20|4,0,0</v>
      </c>
      <c r="E20" t="str">
        <f>CONCATENATE(613173,",",ROW(BCKQHDR_06610!E20),"|",COLUMN(BCKQHDR_06610!E20),",0",",0")</f>
        <v>613173,20|5,0,0</v>
      </c>
    </row>
    <row r="21" spans="1:5" x14ac:dyDescent="0.25">
      <c r="A21" t="str">
        <f>CONCATENATE(613060,",",ROW(BCKQHDR_06610!A21),"|",COLUMN(BCKQHDR_06610!A21),",0",",0")</f>
        <v>613060,21|1,0,0</v>
      </c>
      <c r="B21" t="str">
        <f>CONCATENATE(613100,",",ROW(BCKQHDR_06610!B21),"|",COLUMN(BCKQHDR_06610!B21),",0",",0")</f>
        <v>613100,21|2,0,0</v>
      </c>
      <c r="C21" t="str">
        <f>CONCATENATE(612916,",",ROW(BCKQHDR_06610!C21),"|",COLUMN(BCKQHDR_06610!C21),",0",",0")</f>
        <v>612916,21|3,0,0</v>
      </c>
      <c r="D21" t="str">
        <f>CONCATENATE(612994,",",ROW(BCKQHDR_06610!D21),"|",COLUMN(BCKQHDR_06610!D21),",0",",0")</f>
        <v>612994,21|4,0,0</v>
      </c>
      <c r="E21" t="str">
        <f>CONCATENATE(613174,",",ROW(BCKQHDR_06610!E21),"|",COLUMN(BCKQHDR_06610!E21),",0",",0")</f>
        <v>613174,21|5,0,0</v>
      </c>
    </row>
    <row r="22" spans="1:5" x14ac:dyDescent="0.25">
      <c r="A22" t="str">
        <f>CONCATENATE(612896,",",ROW(BCKQHDR_06610!A22),"|",COLUMN(BCKQHDR_06610!A22),",0",",0")</f>
        <v>612896,22|1,0,0</v>
      </c>
      <c r="B22" t="s">
        <v>5</v>
      </c>
      <c r="C22" t="str">
        <f>CONCATENATE(612917,",",ROW(BCKQHDR_06610!C22),"|",COLUMN(BCKQHDR_06610!C22),",0",",0")</f>
        <v>612917,22|3,0,0</v>
      </c>
      <c r="D22" t="str">
        <f>CONCATENATE(612995,",",ROW(BCKQHDR_06610!D22),"|",COLUMN(BCKQHDR_06610!D22),",0",",0")</f>
        <v>612995,22|4,0,0</v>
      </c>
      <c r="E22" t="str">
        <f>CONCATENATE(613175,",",ROW(BCKQHDR_06610!E22),"|",COLUMN(BCKQHDR_06610!E22),",0",",0")</f>
        <v>613175,22|5,0,0</v>
      </c>
    </row>
    <row r="23" spans="1:5" x14ac:dyDescent="0.25">
      <c r="A23" t="str">
        <f>CONCATENATE(612897,",",ROW(BCKQHDR_06610!A23),"|",COLUMN(BCKQHDR_06610!A23),",0",",0")</f>
        <v>612897,23|1,0,0</v>
      </c>
      <c r="B23" t="str">
        <f>CONCATENATE(613065,",",ROW(BCKQHDR_06610!B23),"|",COLUMN(BCKQHDR_06610!B23),",0",",0")</f>
        <v>613065,23|2,0,0</v>
      </c>
      <c r="C23" t="str">
        <f>CONCATENATE(612918,",",ROW(BCKQHDR_06610!C23),"|",COLUMN(BCKQHDR_06610!C23),",0",",0")</f>
        <v>612918,23|3,0,0</v>
      </c>
      <c r="D23" t="str">
        <f>CONCATENATE(612996,",",ROW(BCKQHDR_06610!D23),"|",COLUMN(BCKQHDR_06610!D23),",0",",0")</f>
        <v>612996,23|4,0,0</v>
      </c>
      <c r="E23" t="str">
        <f>CONCATENATE(613176,",",ROW(BCKQHDR_06610!E23),"|",COLUMN(BCKQHDR_06610!E23),",0",",0")</f>
        <v>613176,23|5,0,0</v>
      </c>
    </row>
    <row r="24" spans="1:5" x14ac:dyDescent="0.25">
      <c r="A24" t="str">
        <f>CONCATENATE(613061,",",ROW(BCKQHDR_06610!A24),"|",COLUMN(BCKQHDR_06610!A24),",0",",0")</f>
        <v>613061,24|1,0,0</v>
      </c>
      <c r="B24" t="str">
        <f>CONCATENATE(613066,",",ROW(BCKQHDR_06610!B24),"|",COLUMN(BCKQHDR_06610!B24),",0",",0")</f>
        <v>613066,24|2,0,0</v>
      </c>
      <c r="C24" t="str">
        <f>CONCATENATE(612919,",",ROW(BCKQHDR_06610!C24),"|",COLUMN(BCKQHDR_06610!C24),",0",",0")</f>
        <v>612919,24|3,0,0</v>
      </c>
      <c r="D24" t="str">
        <f>CONCATENATE(612997,",",ROW(BCKQHDR_06610!D24),"|",COLUMN(BCKQHDR_06610!D24),",0",",0")</f>
        <v>612997,24|4,0,0</v>
      </c>
      <c r="E24" t="str">
        <f>CONCATENATE(613177,",",ROW(BCKQHDR_06610!E24),"|",COLUMN(BCKQHDR_06610!E24),",0",",0")</f>
        <v>613177,24|5,0,0</v>
      </c>
    </row>
    <row r="25" spans="1:5" x14ac:dyDescent="0.25">
      <c r="A25" t="str">
        <f>CONCATENATE(613079,",",ROW(BCKQHDR_06610!A25),"|",COLUMN(BCKQHDR_06610!A25),",0",",0")</f>
        <v>613079,25|1,0,0</v>
      </c>
      <c r="B25" t="str">
        <f>CONCATENATE(613128,",",ROW(BCKQHDR_06610!B25),"|",COLUMN(BCKQHDR_06610!B25),",0",",0")</f>
        <v>613128,25|2,0,0</v>
      </c>
      <c r="C25" t="str">
        <f>CONCATENATE(612920,",",ROW(BCKQHDR_06610!C25),"|",COLUMN(BCKQHDR_06610!C25),",0",",0")</f>
        <v>612920,25|3,0,0</v>
      </c>
      <c r="D25" t="str">
        <f>CONCATENATE(612998,",",ROW(BCKQHDR_06610!D25),"|",COLUMN(BCKQHDR_06610!D25),",0",",0")</f>
        <v>612998,25|4,0,0</v>
      </c>
      <c r="E25" t="str">
        <f>CONCATENATE(613178,",",ROW(BCKQHDR_06610!E25),"|",COLUMN(BCKQHDR_06610!E25),",0",",0")</f>
        <v>613178,25|5,0,0</v>
      </c>
    </row>
    <row r="26" spans="1:5" x14ac:dyDescent="0.25">
      <c r="A26" t="str">
        <f>CONCATENATE(612946,",",ROW(BCKQHDR_06610!A26),"|",COLUMN(BCKQHDR_06610!A26),",0",",0")</f>
        <v>612946,26|1,0,0</v>
      </c>
      <c r="B26" t="str">
        <f>CONCATENATE(613129,",",ROW(BCKQHDR_06610!B26),"|",COLUMN(BCKQHDR_06610!B26),",0",",0")</f>
        <v>613129,26|2,0,0</v>
      </c>
      <c r="C26" t="str">
        <f>CONCATENATE(612921,",",ROW(BCKQHDR_06610!C26),"|",COLUMN(BCKQHDR_06610!C26),",0",",0")</f>
        <v>612921,26|3,0,0</v>
      </c>
      <c r="D26" t="str">
        <f>CONCATENATE(612999,",",ROW(BCKQHDR_06610!D26),"|",COLUMN(BCKQHDR_06610!D26),",0",",0")</f>
        <v>612999,26|4,0,0</v>
      </c>
      <c r="E26" t="str">
        <f>CONCATENATE(613179,",",ROW(BCKQHDR_06610!E26),"|",COLUMN(BCKQHDR_06610!E26),",0",",0")</f>
        <v>613179,26|5,0,0</v>
      </c>
    </row>
    <row r="27" spans="1:5" x14ac:dyDescent="0.25">
      <c r="A27" t="str">
        <f>CONCATENATE(613062,",",ROW(BCKQHDR_06610!A27),"|",COLUMN(BCKQHDR_06610!A27),",0",",0")</f>
        <v>613062,27|1,0,0</v>
      </c>
      <c r="B27" t="str">
        <f>CONCATENATE(613130,",",ROW(BCKQHDR_06610!B27),"|",COLUMN(BCKQHDR_06610!B27),",0",",0")</f>
        <v>613130,27|2,0,0</v>
      </c>
      <c r="C27" t="str">
        <f>CONCATENATE(612922,",",ROW(BCKQHDR_06610!C27),"|",COLUMN(BCKQHDR_06610!C27),",0",",0")</f>
        <v>612922,27|3,0,0</v>
      </c>
      <c r="D27" t="str">
        <f>CONCATENATE(613000,",",ROW(BCKQHDR_06610!D27),"|",COLUMN(BCKQHDR_06610!D27),",0",",0")</f>
        <v>613000,27|4,0,0</v>
      </c>
      <c r="E27" t="str">
        <f>CONCATENATE(613180,",",ROW(BCKQHDR_06610!E27),"|",COLUMN(BCKQHDR_06610!E27),",0",",0")</f>
        <v>613180,27|5,0,0</v>
      </c>
    </row>
    <row r="28" spans="1:5" x14ac:dyDescent="0.25">
      <c r="A28" t="str">
        <f>CONCATENATE(612947,",",ROW(BCKQHDR_06610!A28),"|",COLUMN(BCKQHDR_06610!A28),",0",",0")</f>
        <v>612947,28|1,0,0</v>
      </c>
      <c r="B28" t="str">
        <f>CONCATENATE(613101,",",ROW(BCKQHDR_06610!B28),"|",COLUMN(BCKQHDR_06610!B28),",0",",0")</f>
        <v>613101,28|2,0,0</v>
      </c>
      <c r="C28" t="str">
        <f>CONCATENATE(612923,",",ROW(BCKQHDR_06610!C28),"|",COLUMN(BCKQHDR_06610!C28),",0",",0")</f>
        <v>612923,28|3,0,0</v>
      </c>
      <c r="D28" t="str">
        <f>CONCATENATE(612867,",",ROW(BCKQHDR_06610!D28),"|",COLUMN(BCKQHDR_06610!D28),",0",",0")</f>
        <v>612867,28|4,0,0</v>
      </c>
      <c r="E28" t="str">
        <f>CONCATENATE(613181,",",ROW(BCKQHDR_06610!E28),"|",COLUMN(BCKQHDR_06610!E28),",0",",0")</f>
        <v>613181,28|5,0,0</v>
      </c>
    </row>
    <row r="29" spans="1:5" x14ac:dyDescent="0.25">
      <c r="A29" t="str">
        <f>CONCATENATE(613142,",",ROW(BCKQHDR_06610!A29),"|",COLUMN(BCKQHDR_06610!A29),",0",",0")</f>
        <v>613142,29|1,0,0</v>
      </c>
      <c r="B29" t="str">
        <f>CONCATENATE(613102,",",ROW(BCKQHDR_06610!B29),"|",COLUMN(BCKQHDR_06610!B29),",0",",0")</f>
        <v>613102,29|2,0,0</v>
      </c>
      <c r="C29" t="str">
        <f>CONCATENATE(612924,",",ROW(BCKQHDR_06610!C29),"|",COLUMN(BCKQHDR_06610!C29),",0",",0")</f>
        <v>612924,29|3,0,0</v>
      </c>
      <c r="D29" t="str">
        <f>CONCATENATE(612868,",",ROW(BCKQHDR_06610!D29),"|",COLUMN(BCKQHDR_06610!D29),",0",",0")</f>
        <v>612868,29|4,0,0</v>
      </c>
      <c r="E29" t="str">
        <f>CONCATENATE(613182,",",ROW(BCKQHDR_06610!E29),"|",COLUMN(BCKQHDR_06610!E29),",0",",0")</f>
        <v>613182,29|5,0,0</v>
      </c>
    </row>
    <row r="30" spans="1:5" x14ac:dyDescent="0.25">
      <c r="A30" t="str">
        <f>CONCATENATE(613075,",",ROW(BCKQHDR_06610!A30),"|",COLUMN(BCKQHDR_06610!A30),",0",",0")</f>
        <v>613075,30|1,0,0</v>
      </c>
      <c r="B30" t="str">
        <f>CONCATENATE(613103,",",ROW(BCKQHDR_06610!B30),"|",COLUMN(BCKQHDR_06610!B30),",0",",0")</f>
        <v>613103,30|2,0,0</v>
      </c>
      <c r="C30" t="str">
        <f>CONCATENATE(612925,",",ROW(BCKQHDR_06610!C30),"|",COLUMN(BCKQHDR_06610!C30),",0",",0")</f>
        <v>612925,30|3,0,0</v>
      </c>
      <c r="D30" t="str">
        <f>CONCATENATE(612869,",",ROW(BCKQHDR_06610!D30),"|",COLUMN(BCKQHDR_06610!D30),",0",",0")</f>
        <v>612869,30|4,0,0</v>
      </c>
      <c r="E30" t="str">
        <f>CONCATENATE(613184,",",ROW(BCKQHDR_06610!E30),"|",COLUMN(BCKQHDR_06610!E30),",0",",0")</f>
        <v>613184,30|5,0,0</v>
      </c>
    </row>
    <row r="31" spans="1:5" x14ac:dyDescent="0.25">
      <c r="A31" t="str">
        <f>CONCATENATE(613076,",",ROW(BCKQHDR_06610!A31),"|",COLUMN(BCKQHDR_06610!A31),",0",",0")</f>
        <v>613076,31|1,0,0</v>
      </c>
      <c r="B31" t="str">
        <f>CONCATENATE(613088,",",ROW(BCKQHDR_06610!B31),"|",COLUMN(BCKQHDR_06610!B31),",0",",0")</f>
        <v>613088,31|2,0,0</v>
      </c>
      <c r="C31" t="str">
        <f>CONCATENATE(612926,",",ROW(BCKQHDR_06610!C31),"|",COLUMN(BCKQHDR_06610!C31),",0",",0")</f>
        <v>612926,31|3,0,0</v>
      </c>
      <c r="D31" t="str">
        <f>CONCATENATE(612870,",",ROW(BCKQHDR_06610!D31),"|",COLUMN(BCKQHDR_06610!D31),",0",",0")</f>
        <v>612870,31|4,0,0</v>
      </c>
      <c r="E31" t="str">
        <f>CONCATENATE(613185,",",ROW(BCKQHDR_06610!E31),"|",COLUMN(BCKQHDR_06610!E31),",0",",0")</f>
        <v>613185,31|5,0,0</v>
      </c>
    </row>
    <row r="32" spans="1:5" x14ac:dyDescent="0.25">
      <c r="A32" t="str">
        <f>CONCATENATE(613063,",",ROW(BCKQHDR_06610!A32),"|",COLUMN(BCKQHDR_06610!A32),",0",",0")</f>
        <v>613063,32|1,0,0</v>
      </c>
      <c r="B32" t="str">
        <f>CONCATENATE(613067,",",ROW(BCKQHDR_06610!B32),"|",COLUMN(BCKQHDR_06610!B32),",0",",0")</f>
        <v>613067,32|2,0,0</v>
      </c>
      <c r="C32" t="str">
        <f>CONCATENATE(612927,",",ROW(BCKQHDR_06610!C32),"|",COLUMN(BCKQHDR_06610!C32),",0",",0")</f>
        <v>612927,32|3,0,0</v>
      </c>
      <c r="D32" t="str">
        <f>CONCATENATE(612871,",",ROW(BCKQHDR_06610!D32),"|",COLUMN(BCKQHDR_06610!D32),",0",",0")</f>
        <v>612871,32|4,0,0</v>
      </c>
      <c r="E32" t="str">
        <f>CONCATENATE(613186,",",ROW(BCKQHDR_06610!E32),"|",COLUMN(BCKQHDR_06610!E32),",0",",0")</f>
        <v>613186,32|5,0,0</v>
      </c>
    </row>
    <row r="33" spans="1:5" x14ac:dyDescent="0.25">
      <c r="A33" t="str">
        <f>CONCATENATE(613080,",",ROW(BCKQHDR_06610!A33),"|",COLUMN(BCKQHDR_06610!A33),",0",",0")</f>
        <v>613080,33|1,0,0</v>
      </c>
      <c r="B33" t="str">
        <f>CONCATENATE(613131,",",ROW(BCKQHDR_06610!B33),"|",COLUMN(BCKQHDR_06610!B33),",0",",0")</f>
        <v>613131,33|2,0,0</v>
      </c>
      <c r="C33" t="str">
        <f>CONCATENATE(612928,",",ROW(BCKQHDR_06610!C33),"|",COLUMN(BCKQHDR_06610!C33),",0",",0")</f>
        <v>612928,33|3,0,0</v>
      </c>
      <c r="D33" t="str">
        <f>CONCATENATE(612872,",",ROW(BCKQHDR_06610!D33),"|",COLUMN(BCKQHDR_06610!D33),",0",",0")</f>
        <v>612872,33|4,0,0</v>
      </c>
      <c r="E33" t="str">
        <f>CONCATENATE(613187,",",ROW(BCKQHDR_06610!E33),"|",COLUMN(BCKQHDR_06610!E33),",0",",0")</f>
        <v>613187,33|5,0,0</v>
      </c>
    </row>
    <row r="34" spans="1:5" x14ac:dyDescent="0.25">
      <c r="A34" t="str">
        <f>CONCATENATE(612898,",",ROW(BCKQHDR_06610!A34),"|",COLUMN(BCKQHDR_06610!A34),",0",",0")</f>
        <v>612898,34|1,0,0</v>
      </c>
      <c r="B34" t="str">
        <f>CONCATENATE(613132,",",ROW(BCKQHDR_06610!B34),"|",COLUMN(BCKQHDR_06610!B34),",0",",0")</f>
        <v>613132,34|2,0,0</v>
      </c>
      <c r="C34" t="str">
        <f>CONCATENATE(612929,",",ROW(BCKQHDR_06610!C34),"|",COLUMN(BCKQHDR_06610!C34),",0",",0")</f>
        <v>612929,34|3,0,0</v>
      </c>
      <c r="D34" t="str">
        <f>CONCATENATE(612873,",",ROW(BCKQHDR_06610!D34),"|",COLUMN(BCKQHDR_06610!D34),",0",",0")</f>
        <v>612873,34|4,0,0</v>
      </c>
      <c r="E34" t="str">
        <f>CONCATENATE(613188,",",ROW(BCKQHDR_06610!E34),"|",COLUMN(BCKQHDR_06610!E34),",0",",0")</f>
        <v>613188,34|5,0,0</v>
      </c>
    </row>
    <row r="35" spans="1:5" x14ac:dyDescent="0.25">
      <c r="A35" t="str">
        <f>CONCATENATE(613143,",",ROW(BCKQHDR_06610!A35),"|",COLUMN(BCKQHDR_06610!A35),",0",",0")</f>
        <v>613143,35|1,0,0</v>
      </c>
      <c r="B35" t="str">
        <f>CONCATENATE(613006,",",ROW(BCKQHDR_06610!B35),"|",COLUMN(BCKQHDR_06610!B35),",0",",0")</f>
        <v>613006,35|2,0,0</v>
      </c>
      <c r="C35" t="str">
        <f>CONCATENATE(612930,",",ROW(BCKQHDR_06610!C35),"|",COLUMN(BCKQHDR_06610!C35),",0",",0")</f>
        <v>612930,35|3,0,0</v>
      </c>
      <c r="D35" t="str">
        <f>CONCATENATE(612874,",",ROW(BCKQHDR_06610!D35),"|",COLUMN(BCKQHDR_06610!D35),",0",",0")</f>
        <v>612874,35|4,0,0</v>
      </c>
      <c r="E35" t="str">
        <f>CONCATENATE(613189,",",ROW(BCKQHDR_06610!E35),"|",COLUMN(BCKQHDR_06610!E35),",0",",0")</f>
        <v>613189,35|5,0,0</v>
      </c>
    </row>
    <row r="36" spans="1:5" x14ac:dyDescent="0.25">
      <c r="A36" t="str">
        <f>CONCATENATE(613144,",",ROW(BCKQHDR_06610!A36),"|",COLUMN(BCKQHDR_06610!A36),",0",",0")</f>
        <v>613144,36|1,0,0</v>
      </c>
      <c r="B36" t="str">
        <f>CONCATENATE(613133,",",ROW(BCKQHDR_06610!B36),"|",COLUMN(BCKQHDR_06610!B36),",0",",0")</f>
        <v>613133,36|2,0,0</v>
      </c>
      <c r="C36" t="str">
        <f>CONCATENATE(612931,",",ROW(BCKQHDR_06610!C36),"|",COLUMN(BCKQHDR_06610!C36),",0",",0")</f>
        <v>612931,36|3,0,0</v>
      </c>
      <c r="D36" t="str">
        <f>CONCATENATE(612875,",",ROW(BCKQHDR_06610!D36),"|",COLUMN(BCKQHDR_06610!D36),",0",",0")</f>
        <v>612875,36|4,0,0</v>
      </c>
      <c r="E36" t="str">
        <f>CONCATENATE(613190,",",ROW(BCKQHDR_06610!E36),"|",COLUMN(BCKQHDR_06610!E36),",0",",0")</f>
        <v>613190,36|5,0,0</v>
      </c>
    </row>
    <row r="37" spans="1:5" x14ac:dyDescent="0.25">
      <c r="A37" t="str">
        <f>CONCATENATE(612948,",",ROW(BCKQHDR_06610!A37),"|",COLUMN(BCKQHDR_06610!A37),",0",",0")</f>
        <v>612948,37|1,0,0</v>
      </c>
      <c r="B37" t="str">
        <f>CONCATENATE(613134,",",ROW(BCKQHDR_06610!B37),"|",COLUMN(BCKQHDR_06610!B37),",0",",0")</f>
        <v>613134,37|2,0,0</v>
      </c>
      <c r="C37" t="str">
        <f>CONCATENATE(613040,",",ROW(BCKQHDR_06610!C37),"|",COLUMN(BCKQHDR_06610!C37),",0",",0")</f>
        <v>613040,37|3,0,0</v>
      </c>
      <c r="D37" t="str">
        <f>CONCATENATE(612876,",",ROW(BCKQHDR_06610!D37),"|",COLUMN(BCKQHDR_06610!D37),",0",",0")</f>
        <v>612876,37|4,0,0</v>
      </c>
      <c r="E37" t="str">
        <f>CONCATENATE(613191,",",ROW(BCKQHDR_06610!E37),"|",COLUMN(BCKQHDR_06610!E37),",0",",0")</f>
        <v>613191,37|5,0,0</v>
      </c>
    </row>
    <row r="38" spans="1:5" x14ac:dyDescent="0.25">
      <c r="A38" t="str">
        <f>CONCATENATE(612910,",",ROW(BCKQHDR_06610!A38),"|",COLUMN(BCKQHDR_06610!A38),",0",",0")</f>
        <v>612910,38|1,0,0</v>
      </c>
      <c r="B38" t="str">
        <f>CONCATENATE(613007,",",ROW(BCKQHDR_06610!B38),"|",COLUMN(BCKQHDR_06610!B38),",0",",0")</f>
        <v>613007,38|2,0,0</v>
      </c>
      <c r="C38" t="str">
        <f>CONCATENATE(613041,",",ROW(BCKQHDR_06610!C38),"|",COLUMN(BCKQHDR_06610!C38),",0",",0")</f>
        <v>613041,38|3,0,0</v>
      </c>
      <c r="D38" t="str">
        <f>CONCATENATE(612877,",",ROW(BCKQHDR_06610!D38),"|",COLUMN(BCKQHDR_06610!D38),",0",",0")</f>
        <v>612877,38|4,0,0</v>
      </c>
      <c r="E38" t="str">
        <f>CONCATENATE(613192,",",ROW(BCKQHDR_06610!E38),"|",COLUMN(BCKQHDR_06610!E38),",0",",0")</f>
        <v>613192,38|5,0,0</v>
      </c>
    </row>
    <row r="39" spans="1:5" x14ac:dyDescent="0.25">
      <c r="A39" t="str">
        <f>CONCATENATE(613095,",",ROW(BCKQHDR_06610!A39),"|",COLUMN(BCKQHDR_06610!A39),",0",",0")</f>
        <v>613095,39|1,0,0</v>
      </c>
      <c r="B39" t="s">
        <v>5</v>
      </c>
      <c r="C39" t="str">
        <f>CONCATENATE(613042,",",ROW(BCKQHDR_06610!C39),"|",COLUMN(BCKQHDR_06610!C39),",0",",0")</f>
        <v>613042,39|3,0,0</v>
      </c>
      <c r="D39" t="str">
        <f>CONCATENATE(612878,",",ROW(BCKQHDR_06610!D39),"|",COLUMN(BCKQHDR_06610!D39),",0",",0")</f>
        <v>612878,39|4,0,0</v>
      </c>
      <c r="E39" t="str">
        <f>CONCATENATE(613193,",",ROW(BCKQHDR_06610!E39),"|",COLUMN(BCKQHDR_06610!E39),",0",",0")</f>
        <v>613193,39|5,0,0</v>
      </c>
    </row>
    <row r="40" spans="1:5" x14ac:dyDescent="0.25">
      <c r="A40" t="str">
        <f>CONCATENATE(612911,",",ROW(BCKQHDR_06610!A40),"|",COLUMN(BCKQHDR_06610!A40),",0",",0")</f>
        <v>612911,40|1,0,0</v>
      </c>
      <c r="B40" t="str">
        <f>CONCATENATE(613008,",",ROW(BCKQHDR_06610!B40),"|",COLUMN(BCKQHDR_06610!B40),",0",",0")</f>
        <v>613008,40|2,0,0</v>
      </c>
      <c r="C40" t="str">
        <f>CONCATENATE(613043,",",ROW(BCKQHDR_06610!C40),"|",COLUMN(BCKQHDR_06610!C40),",0",",0")</f>
        <v>613043,40|3,0,0</v>
      </c>
      <c r="D40" t="str">
        <f>CONCATENATE(612879,",",ROW(BCKQHDR_06610!D40),"|",COLUMN(BCKQHDR_06610!D40),",0",",0")</f>
        <v>612879,40|4,0,0</v>
      </c>
      <c r="E40" t="str">
        <f>CONCATENATE(613194,",",ROW(BCKQHDR_06610!E40),"|",COLUMN(BCKQHDR_06610!E40),",0",",0")</f>
        <v>613194,40|5,0,0</v>
      </c>
    </row>
    <row r="41" spans="1:5" x14ac:dyDescent="0.25">
      <c r="A41" t="str">
        <f>CONCATENATE(612912,",",ROW(BCKQHDR_06610!A41),"|",COLUMN(BCKQHDR_06610!A41),",0",",0")</f>
        <v>612912,41|1,0,0</v>
      </c>
      <c r="B41" t="str">
        <f>CONCATENATE(613089,",",ROW(BCKQHDR_06610!B41),"|",COLUMN(BCKQHDR_06610!B41),",0",",0")</f>
        <v>613089,41|2,0,0</v>
      </c>
      <c r="C41" t="str">
        <f>CONCATENATE(613044,",",ROW(BCKQHDR_06610!C41),"|",COLUMN(BCKQHDR_06610!C41),",0",",0")</f>
        <v>613044,41|3,0,0</v>
      </c>
      <c r="D41" t="str">
        <f>CONCATENATE(612880,",",ROW(BCKQHDR_06610!D41),"|",COLUMN(BCKQHDR_06610!D41),",0",",0")</f>
        <v>612880,41|4,0,0</v>
      </c>
      <c r="E41" t="str">
        <f>CONCATENATE(613195,",",ROW(BCKQHDR_06610!E41),"|",COLUMN(BCKQHDR_06610!E41),",0",",0")</f>
        <v>613195,41|5,0,0</v>
      </c>
    </row>
    <row r="42" spans="1:5" x14ac:dyDescent="0.25">
      <c r="A42" t="str">
        <f>CONCATENATE(613096,",",ROW(BCKQHDR_06610!A42),"|",COLUMN(BCKQHDR_06610!A42),",0",",0")</f>
        <v>613096,42|1,0,0</v>
      </c>
      <c r="B42" t="str">
        <f>CONCATENATE(613104,",",ROW(BCKQHDR_06610!B42),"|",COLUMN(BCKQHDR_06610!B42),",0",",0")</f>
        <v>613104,42|2,0,0</v>
      </c>
      <c r="C42" t="str">
        <f>CONCATENATE(613045,",",ROW(BCKQHDR_06610!C42),"|",COLUMN(BCKQHDR_06610!C42),",0",",0")</f>
        <v>613045,42|3,0,0</v>
      </c>
      <c r="D42" t="str">
        <f>CONCATENATE(612881,",",ROW(BCKQHDR_06610!D42),"|",COLUMN(BCKQHDR_06610!D42),",0",",0")</f>
        <v>612881,42|4,0,0</v>
      </c>
      <c r="E42" t="str">
        <f>CONCATENATE(613196,",",ROW(BCKQHDR_06610!E42),"|",COLUMN(BCKQHDR_06610!E42),",0",",0")</f>
        <v>613196,42|5,0,0</v>
      </c>
    </row>
    <row r="43" spans="1:5" x14ac:dyDescent="0.25">
      <c r="A43" t="str">
        <f>CONCATENATE(613107,",",ROW(BCKQHDR_06610!A43),"|",COLUMN(BCKQHDR_06610!A43),",0",",0")</f>
        <v>613107,43|1,0,0</v>
      </c>
      <c r="B43" t="str">
        <f>CONCATENATE(613068,",",ROW(BCKQHDR_06610!B43),"|",COLUMN(BCKQHDR_06610!B43),",0",",0")</f>
        <v>613068,43|2,0,0</v>
      </c>
      <c r="C43" t="str">
        <f>CONCATENATE(613046,",",ROW(BCKQHDR_06610!C43),"|",COLUMN(BCKQHDR_06610!C43),",0",",0")</f>
        <v>613046,43|3,0,0</v>
      </c>
      <c r="D43" t="str">
        <f>CONCATENATE(612882,",",ROW(BCKQHDR_06610!D43),"|",COLUMN(BCKQHDR_06610!D43),",0",",0")</f>
        <v>612882,43|4,0,0</v>
      </c>
      <c r="E43" t="str">
        <f>CONCATENATE(613197,",",ROW(BCKQHDR_06610!E43),"|",COLUMN(BCKQHDR_06610!E43),",0",",0")</f>
        <v>613197,43|5,0,0</v>
      </c>
    </row>
    <row r="44" spans="1:5" x14ac:dyDescent="0.25">
      <c r="A44" t="str">
        <f>CONCATENATE(612913,",",ROW(BCKQHDR_06610!A44),"|",COLUMN(BCKQHDR_06610!A44),",0",",0")</f>
        <v>612913,44|1,0,0</v>
      </c>
      <c r="B44" t="str">
        <f>CONCATENATE(613009,",",ROW(BCKQHDR_06610!B44),"|",COLUMN(BCKQHDR_06610!B44),",0",",0")</f>
        <v>613009,44|2,0,0</v>
      </c>
      <c r="C44" t="str">
        <f>CONCATENATE(613047,",",ROW(BCKQHDR_06610!C44),"|",COLUMN(BCKQHDR_06610!C44),",0",",0")</f>
        <v>613047,44|3,0,0</v>
      </c>
      <c r="D44" t="str">
        <f>CONCATENATE(612883,",",ROW(BCKQHDR_06610!D44),"|",COLUMN(BCKQHDR_06610!D44),",0",",0")</f>
        <v>612883,44|4,0,0</v>
      </c>
      <c r="E44" t="str">
        <f>CONCATENATE(613111,",",ROW(BCKQHDR_06610!E44),"|",COLUMN(BCKQHDR_06610!E44),",0",",0")</f>
        <v>613111,44|5,0,0</v>
      </c>
    </row>
    <row r="45" spans="1:5" x14ac:dyDescent="0.25">
      <c r="A45" t="str">
        <f>CONCATENATE(613108,",",ROW(BCKQHDR_06610!A45),"|",COLUMN(BCKQHDR_06610!A45),",0",",0")</f>
        <v>613108,45|1,0,0</v>
      </c>
      <c r="B45" t="s">
        <v>5</v>
      </c>
      <c r="C45" t="str">
        <f>CONCATENATE(613048,",",ROW(BCKQHDR_06610!C45),"|",COLUMN(BCKQHDR_06610!C45),",0",",0")</f>
        <v>613048,45|3,0,0</v>
      </c>
      <c r="D45" t="str">
        <f>CONCATENATE(612884,",",ROW(BCKQHDR_06610!D45),"|",COLUMN(BCKQHDR_06610!D45),",0",",0")</f>
        <v>612884,45|4,0,0</v>
      </c>
      <c r="E45" t="str">
        <f>CONCATENATE(613146,",",ROW(BCKQHDR_06610!E45),"|",COLUMN(BCKQHDR_06610!E45),",0",",0")</f>
        <v>613146,45|5,0,0</v>
      </c>
    </row>
    <row r="46" spans="1:5" x14ac:dyDescent="0.25">
      <c r="A46" t="str">
        <f>CONCATENATE(613198,",",ROW(BCKQHDR_06610!A46),"|",COLUMN(BCKQHDR_06610!A46),",0",",0")</f>
        <v>613198,46|1,0,0</v>
      </c>
      <c r="B46" t="str">
        <f>CONCATENATE(613069,",",ROW(BCKQHDR_06610!B46),"|",COLUMN(BCKQHDR_06610!B46),",0",",0")</f>
        <v>613069,46|2,0,0</v>
      </c>
      <c r="C46" t="str">
        <f>CONCATENATE(613049,",",ROW(BCKQHDR_06610!C46),"|",COLUMN(BCKQHDR_06610!C46),",0",",0")</f>
        <v>613049,46|3,0,0</v>
      </c>
      <c r="D46" t="str">
        <f>CONCATENATE(612885,",",ROW(BCKQHDR_06610!D46),"|",COLUMN(BCKQHDR_06610!D46),",0",",0")</f>
        <v>612885,46|4,0,0</v>
      </c>
      <c r="E46" t="str">
        <f>CONCATENATE(612954,",",ROW(BCKQHDR_06610!E46),"|",COLUMN(BCKQHDR_06610!E46),",0",",0")</f>
        <v>612954,46|5,0,0</v>
      </c>
    </row>
    <row r="47" spans="1:5" x14ac:dyDescent="0.25">
      <c r="A47" t="str">
        <f>CONCATENATE(612886,",",ROW(BCKQHDR_06610!A47),"|",COLUMN(BCKQHDR_06610!A47),",0",",0")</f>
        <v>612886,47|1,0,0</v>
      </c>
      <c r="B47" t="str">
        <f>CONCATENATE(613010,",",ROW(BCKQHDR_06610!B47),"|",COLUMN(BCKQHDR_06610!B47),",0",",0")</f>
        <v>613010,47|2,0,0</v>
      </c>
      <c r="C47" t="str">
        <f>CONCATENATE(613050,",",ROW(BCKQHDR_06610!C47),"|",COLUMN(BCKQHDR_06610!C47),",0",",0")</f>
        <v>613050,47|3,0,0</v>
      </c>
      <c r="D47" t="str">
        <f>CONCATENATE(612854,",",ROW(BCKQHDR_06610!D47),"|",COLUMN(BCKQHDR_06610!D47),",0",",0")</f>
        <v>612854,47|4,0,0</v>
      </c>
      <c r="E47" t="str">
        <f>CONCATENATE(612955,",",ROW(BCKQHDR_06610!E47),"|",COLUMN(BCKQHDR_06610!E47),",0",",0")</f>
        <v>612955,47|5,0,0</v>
      </c>
    </row>
    <row r="48" spans="1:5" x14ac:dyDescent="0.25">
      <c r="A48" t="str">
        <f>CONCATENATE(613081,",",ROW(BCKQHDR_06610!A48),"|",COLUMN(BCKQHDR_06610!A48),",0",",0")</f>
        <v>613081,48|1,0,0</v>
      </c>
      <c r="B48" t="str">
        <f>CONCATENATE(613011,",",ROW(BCKQHDR_06610!B48),"|",COLUMN(BCKQHDR_06610!B48),",0",",0")</f>
        <v>613011,48|2,0,0</v>
      </c>
      <c r="C48" t="str">
        <f>CONCATENATE(612856,",",ROW(BCKQHDR_06610!C48),"|",COLUMN(BCKQHDR_06610!C48),",0",",0")</f>
        <v>612856,48|3,0,0</v>
      </c>
      <c r="D48" t="str">
        <f>CONCATENATE(612957,",",ROW(BCKQHDR_06610!D48),"|",COLUMN(BCKQHDR_06610!D48),",0",",0")</f>
        <v>612957,48|4,0,0</v>
      </c>
      <c r="E48" t="str">
        <f>CONCATENATE(613052,",",ROW(BCKQHDR_06610!E48),"|",COLUMN(BCKQHDR_06610!E48),",0",",0")</f>
        <v>613052,48|5,0,0</v>
      </c>
    </row>
    <row r="49" spans="1:5" x14ac:dyDescent="0.25">
      <c r="A49" t="str">
        <f>CONCATENATE(613109,",",ROW(BCKQHDR_06610!A49),"|",COLUMN(BCKQHDR_06610!A49),",0",",0")</f>
        <v>613109,49|1,0,0</v>
      </c>
      <c r="B49" t="str">
        <f>CONCATENATE(613092,",",ROW(BCKQHDR_06610!B49),"|",COLUMN(BCKQHDR_06610!B49),",0",",0")</f>
        <v>613092,49|2,0,0</v>
      </c>
      <c r="C49" t="str">
        <f>CONCATENATE(612857,",",ROW(BCKQHDR_06610!C49),"|",COLUMN(BCKQHDR_06610!C49),",0",",0")</f>
        <v>612857,49|3,0,0</v>
      </c>
      <c r="D49" t="str">
        <f>CONCATENATE(612958,",",ROW(BCKQHDR_06610!D49),"|",COLUMN(BCKQHDR_06610!D49),",0",",0")</f>
        <v>612958,49|4,0,0</v>
      </c>
      <c r="E49" t="str">
        <f>CONCATENATE(613053,",",ROW(BCKQHDR_06610!E49),"|",COLUMN(BCKQHDR_06610!E49),",0",",0")</f>
        <v>613053,49|5,0,0</v>
      </c>
    </row>
    <row r="50" spans="1:5" x14ac:dyDescent="0.25">
      <c r="A50" t="str">
        <f>CONCATENATE(612887,",",ROW(BCKQHDR_06610!A50),"|",COLUMN(BCKQHDR_06610!A50),",0",",0")</f>
        <v>612887,50|1,0,0</v>
      </c>
      <c r="B50" t="str">
        <f>CONCATENATE(613090,",",ROW(BCKQHDR_06610!B50),"|",COLUMN(BCKQHDR_06610!B50),",0",",0")</f>
        <v>613090,50|2,0,0</v>
      </c>
      <c r="C50" t="str">
        <f>CONCATENATE(613147,",",ROW(BCKQHDR_06610!C50),"|",COLUMN(BCKQHDR_06610!C50),",0",",0")</f>
        <v>613147,50|3,0,0</v>
      </c>
      <c r="D50" t="str">
        <f>CONCATENATE(612959,",",ROW(BCKQHDR_06610!D50),"|",COLUMN(BCKQHDR_06610!D50),",0",",0")</f>
        <v>612959,50|4,0,0</v>
      </c>
      <c r="E50" t="str">
        <f>CONCATENATE(613054,",",ROW(BCKQHDR_06610!E50),"|",COLUMN(BCKQHDR_06610!E50),",0",",0")</f>
        <v>613054,50|5,0,0</v>
      </c>
    </row>
    <row r="51" spans="1:5" x14ac:dyDescent="0.25">
      <c r="A51" t="str">
        <f>CONCATENATE(613082,",",ROW(BCKQHDR_06610!A51),"|",COLUMN(BCKQHDR_06610!A51),",0",",0")</f>
        <v>613082,51|1,0,0</v>
      </c>
      <c r="B51" t="str">
        <f>CONCATENATE(613091,",",ROW(BCKQHDR_06610!B51),"|",COLUMN(BCKQHDR_06610!B51),",0",",0")</f>
        <v>613091,51|2,0,0</v>
      </c>
      <c r="C51" t="str">
        <f>CONCATENATE(613013,",",ROW(BCKQHDR_06610!C51),"|",COLUMN(BCKQHDR_06610!C51),",0",",0")</f>
        <v>613013,51|3,0,0</v>
      </c>
      <c r="D51" t="str">
        <f>CONCATENATE(612960,",",ROW(BCKQHDR_06610!D51),"|",COLUMN(BCKQHDR_06610!D51),",0",",0")</f>
        <v>612960,51|4,0,0</v>
      </c>
      <c r="E51" t="str">
        <f>CONCATENATE(613055,",",ROW(BCKQHDR_06610!E51),"|",COLUMN(BCKQHDR_06610!E51),",0",",0")</f>
        <v>613055,51|5,0,0</v>
      </c>
    </row>
    <row r="52" spans="1:5" x14ac:dyDescent="0.25">
      <c r="A52" t="str">
        <f>CONCATENATE(612888,",",ROW(BCKQHDR_06610!A52),"|",COLUMN(BCKQHDR_06610!A52),",0",",0")</f>
        <v>612888,52|1,0,0</v>
      </c>
      <c r="B52" t="str">
        <f>CONCATENATE(613135,",",ROW(BCKQHDR_06610!B52),"|",COLUMN(BCKQHDR_06610!B52),",0",",0")</f>
        <v>613135,52|2,0,0</v>
      </c>
      <c r="C52" t="str">
        <f>CONCATENATE(613014,",",ROW(BCKQHDR_06610!C52),"|",COLUMN(BCKQHDR_06610!C52),",0",",0")</f>
        <v>613014,52|3,0,0</v>
      </c>
      <c r="D52" t="str">
        <f>CONCATENATE(612961,",",ROW(BCKQHDR_06610!D52),"|",COLUMN(BCKQHDR_06610!D52),",0",",0")</f>
        <v>612961,52|4,0,0</v>
      </c>
      <c r="E52" t="str">
        <f>CONCATENATE(613073,",",ROW(BCKQHDR_06610!E52),"|",COLUMN(BCKQHDR_06610!E52),",0",",0")</f>
        <v>613073,52|5,0,0</v>
      </c>
    </row>
    <row r="53" spans="1:5" x14ac:dyDescent="0.25">
      <c r="A53" t="str">
        <f>CONCATENATE(612936,",",ROW(BCKQHDR_06610!A53),"|",COLUMN(BCKQHDR_06610!A53),",0",",0")</f>
        <v>612936,53|1,0,0</v>
      </c>
      <c r="B53" t="str">
        <f>CONCATENATE(613070,",",ROW(BCKQHDR_06610!B53),"|",COLUMN(BCKQHDR_06610!B53),",0",",0")</f>
        <v>613070,53|2,0,0</v>
      </c>
      <c r="C53" t="str">
        <f>CONCATENATE(613015,",",ROW(BCKQHDR_06610!C53),"|",COLUMN(BCKQHDR_06610!C53),",0",",0")</f>
        <v>613015,53|3,0,0</v>
      </c>
      <c r="D53" t="str">
        <f>CONCATENATE(612962,",",ROW(BCKQHDR_06610!D53),"|",COLUMN(BCKQHDR_06610!D53),",0",",0")</f>
        <v>612962,53|4,0,0</v>
      </c>
      <c r="E53" t="str">
        <f>CONCATENATE(613056,",",ROW(BCKQHDR_06610!E53),"|",COLUMN(BCKQHDR_06610!E53),",0",",0")</f>
        <v>613056,53|5,0,0</v>
      </c>
    </row>
    <row r="54" spans="1:5" x14ac:dyDescent="0.25">
      <c r="A54" t="str">
        <f>CONCATENATE(612965,",",ROW(BCKQHDR_06610!A54),"|",COLUMN(BCKQHDR_06610!A54),",0",",0")</f>
        <v>612965,54|1,0,0</v>
      </c>
      <c r="B54" t="str">
        <f>CONCATENATE(612932,",",ROW(BCKQHDR_06610!B54),"|",COLUMN(BCKQHDR_06610!B54),",0",",0")</f>
        <v>612932,54|2,0,0</v>
      </c>
      <c r="C54" t="str">
        <f>CONCATENATE(613016,",",ROW(BCKQHDR_06610!C54),"|",COLUMN(BCKQHDR_06610!C54),",0",",0")</f>
        <v>613016,54|3,0,0</v>
      </c>
      <c r="D54" t="str">
        <f>CONCATENATE(612963,",",ROW(BCKQHDR_06610!D54),"|",COLUMN(BCKQHDR_06610!D54),",0",",0")</f>
        <v>612963,54|4,0,0</v>
      </c>
      <c r="E54" t="str">
        <f>CONCATENATE(613057,",",ROW(BCKQHDR_06610!E54),"|",COLUMN(BCKQHDR_06610!E54),",0",",0")</f>
        <v>613057,54|5,0,0</v>
      </c>
    </row>
    <row r="55" spans="1:5" x14ac:dyDescent="0.25">
      <c r="A55" t="str">
        <f>CONCATENATE(612937,",",ROW(BCKQHDR_06610!A55),"|",COLUMN(BCKQHDR_06610!A55),",0",",0")</f>
        <v>612937,55|1,0,0</v>
      </c>
      <c r="B55" t="s">
        <v>5</v>
      </c>
      <c r="C55" t="str">
        <f>CONCATENATE(613017,",",ROW(BCKQHDR_06610!C55),"|",COLUMN(BCKQHDR_06610!C55),",0",",0")</f>
        <v>613017,55|3,0,0</v>
      </c>
      <c r="D55" t="str">
        <f>CONCATENATE(612964,",",ROW(BCKQHDR_06610!D55),"|",COLUMN(BCKQHDR_06610!D55),",0",",0")</f>
        <v>612964,55|4,0,0</v>
      </c>
      <c r="E55" t="str">
        <f>CONCATENATE(613058,",",ROW(BCKQHDR_06610!E55),"|",COLUMN(BCKQHDR_06610!E55),",0",",0")</f>
        <v>613058,55|5,0,0</v>
      </c>
    </row>
    <row r="56" spans="1:5" x14ac:dyDescent="0.25">
      <c r="A56" t="str">
        <f>CONCATENATE(612914,",",ROW(BCKQHDR_06610!A56),"|",COLUMN(BCKQHDR_06610!A56),",0",",0")</f>
        <v>612914,56|1,0,0</v>
      </c>
      <c r="B56" t="str">
        <f>CONCATENATE(612933,",",ROW(BCKQHDR_06610!B56),"|",COLUMN(BCKQHDR_06610!B56),",0",",0")</f>
        <v>612933,56|2,0,0</v>
      </c>
      <c r="C56" t="str">
        <f>CONCATENATE(613018,",",ROW(BCKQHDR_06610!C56),"|",COLUMN(BCKQHDR_06610!C56),",0",",0")</f>
        <v>613018,56|3,0,0</v>
      </c>
      <c r="D56" t="str">
        <f>CONCATENATE(612966,",",ROW(BCKQHDR_06610!D56),"|",COLUMN(BCKQHDR_06610!D56),",0",",0")</f>
        <v>612966,56|4,0,0</v>
      </c>
      <c r="E56" t="str">
        <f>CONCATENATE(613059,",",ROW(BCKQHDR_06610!E56),"|",COLUMN(BCKQHDR_06610!E56),",0",",0")</f>
        <v>613059,56|5,0,0</v>
      </c>
    </row>
    <row r="57" spans="1:5" x14ac:dyDescent="0.25">
      <c r="A57" t="str">
        <f>CONCATENATE(612938,",",ROW(BCKQHDR_06610!A57),"|",COLUMN(BCKQHDR_06610!A57),",0",",0")</f>
        <v>612938,57|1,0,0</v>
      </c>
      <c r="B57" t="str">
        <f>CONCATENATE(613012,",",ROW(BCKQHDR_06610!B57),"|",COLUMN(BCKQHDR_06610!B57),",0",",0")</f>
        <v>613012,57|2,0,0</v>
      </c>
      <c r="C57" t="str">
        <f>CONCATENATE(613019,",",ROW(BCKQHDR_06610!C57),"|",COLUMN(BCKQHDR_06610!C57),",0",",0")</f>
        <v>613019,57|3,0,0</v>
      </c>
      <c r="D57" t="str">
        <f>CONCATENATE(612967,",",ROW(BCKQHDR_06610!D57),"|",COLUMN(BCKQHDR_06610!D57),",0",",0")</f>
        <v>612967,57|4,0,0</v>
      </c>
      <c r="E57" t="str">
        <f>CONCATENATE(613148,",",ROW(BCKQHDR_06610!E57),"|",COLUMN(BCKQHDR_06610!E57),",0",",0")</f>
        <v>613148,57|5,0,0</v>
      </c>
    </row>
    <row r="58" spans="1:5" x14ac:dyDescent="0.25">
      <c r="A58" t="str">
        <f>CONCATENATE(612866,",",ROW(BCKQHDR_06610!A58),"|",COLUMN(BCKQHDR_06610!A58),",0",",0")</f>
        <v>612866,58|1,0,0</v>
      </c>
      <c r="B58" t="str">
        <f>CONCATENATE(613113,",",ROW(BCKQHDR_06610!B58),"|",COLUMN(BCKQHDR_06610!B58),",0",",0")</f>
        <v>613113,58|2,0,0</v>
      </c>
      <c r="C58" t="str">
        <f>CONCATENATE(613020,",",ROW(BCKQHDR_06610!C58),"|",COLUMN(BCKQHDR_06610!C58),",0",",0")</f>
        <v>613020,58|3,0,0</v>
      </c>
      <c r="D58" t="str">
        <f>CONCATENATE(612968,",",ROW(BCKQHDR_06610!D58),"|",COLUMN(BCKQHDR_06610!D58),",0",",0")</f>
        <v>612968,58|4,0,0</v>
      </c>
      <c r="E58" t="str">
        <f>CONCATENATE(613149,",",ROW(BCKQHDR_06610!E58),"|",COLUMN(BCKQHDR_06610!E58),",0",",0")</f>
        <v>613149,58|5,0,0</v>
      </c>
    </row>
    <row r="59" spans="1:5" x14ac:dyDescent="0.25">
      <c r="A59" t="str">
        <f>CONCATENATE(613001,",",ROW(BCKQHDR_06610!A59),"|",COLUMN(BCKQHDR_06610!A59),",0",",0")</f>
        <v>613001,59|1,0,0</v>
      </c>
      <c r="B59" t="str">
        <f>CONCATENATE(613114,",",ROW(BCKQHDR_06610!B59),"|",COLUMN(BCKQHDR_06610!B59),",0",",0")</f>
        <v>613114,59|2,0,0</v>
      </c>
      <c r="C59" t="str">
        <f>CONCATENATE(613021,",",ROW(BCKQHDR_06610!C59),"|",COLUMN(BCKQHDR_06610!C59),",0",",0")</f>
        <v>613021,59|3,0,0</v>
      </c>
      <c r="D59" t="str">
        <f>CONCATENATE(612969,",",ROW(BCKQHDR_06610!D59),"|",COLUMN(BCKQHDR_06610!D59),",0",",0")</f>
        <v>612969,59|4,0,0</v>
      </c>
      <c r="E59" t="str">
        <f>CONCATENATE(613150,",",ROW(BCKQHDR_06610!E59),"|",COLUMN(BCKQHDR_06610!E59),",0",",0")</f>
        <v>613150,59|5,0,0</v>
      </c>
    </row>
    <row r="60" spans="1:5" x14ac:dyDescent="0.25">
      <c r="A60" t="str">
        <f>CONCATENATE(613002,",",ROW(BCKQHDR_06610!A60),"|",COLUMN(BCKQHDR_06610!A60),",0",",0")</f>
        <v>613002,60|1,0,0</v>
      </c>
      <c r="B60" t="str">
        <f>CONCATENATE(613136,",",ROW(BCKQHDR_06610!B60),"|",COLUMN(BCKQHDR_06610!B60),",0",",0")</f>
        <v>613136,60|2,0,0</v>
      </c>
      <c r="C60" t="str">
        <f>CONCATENATE(613022,",",ROW(BCKQHDR_06610!C60),"|",COLUMN(BCKQHDR_06610!C60),",0",",0")</f>
        <v>613022,60|3,0,0</v>
      </c>
      <c r="D60" t="str">
        <f>CONCATENATE(612970,",",ROW(BCKQHDR_06610!D60),"|",COLUMN(BCKQHDR_06610!D60),",0",",0")</f>
        <v>612970,60|4,0,0</v>
      </c>
      <c r="E60" t="str">
        <f>CONCATENATE(613151,",",ROW(BCKQHDR_06610!E60),"|",COLUMN(BCKQHDR_06610!E60),",0",",0")</f>
        <v>613151,60|5,0,0</v>
      </c>
    </row>
    <row r="61" spans="1:5" x14ac:dyDescent="0.25">
      <c r="A61" t="str">
        <f>CONCATENATE(613083,",",ROW(BCKQHDR_06610!A61),"|",COLUMN(BCKQHDR_06610!A61),",0",",0")</f>
        <v>613083,61|1,0,0</v>
      </c>
      <c r="B61" t="str">
        <f>CONCATENATE(613093,",",ROW(BCKQHDR_06610!B61),"|",COLUMN(BCKQHDR_06610!B61),",0",",0")</f>
        <v>613093,61|2,0,0</v>
      </c>
      <c r="C61" t="str">
        <f>CONCATENATE(613023,",",ROW(BCKQHDR_06610!C61),"|",COLUMN(BCKQHDR_06610!C61),",0",",0")</f>
        <v>613023,61|3,0,0</v>
      </c>
      <c r="D61" t="str">
        <f>CONCATENATE(612971,",",ROW(BCKQHDR_06610!D61),"|",COLUMN(BCKQHDR_06610!D61),",0",",0")</f>
        <v>612971,61|4,0,0</v>
      </c>
      <c r="E61" t="str">
        <f>CONCATENATE(613152,",",ROW(BCKQHDR_06610!E61),"|",COLUMN(BCKQHDR_06610!E61),",0",",0")</f>
        <v>613152,61|5,0,0</v>
      </c>
    </row>
    <row r="62" spans="1:5" x14ac:dyDescent="0.25">
      <c r="A62" t="str">
        <f>CONCATENATE(613003,",",ROW(BCKQHDR_06610!A62),"|",COLUMN(BCKQHDR_06610!A62),",0",",0")</f>
        <v>613003,62|1,0,0</v>
      </c>
      <c r="B62" t="str">
        <f>CONCATENATE(613071,",",ROW(BCKQHDR_06610!B62),"|",COLUMN(BCKQHDR_06610!B62),",0",",0")</f>
        <v>613071,62|2,0,0</v>
      </c>
      <c r="C62" t="str">
        <f>CONCATENATE(613024,",",ROW(BCKQHDR_06610!C62),"|",COLUMN(BCKQHDR_06610!C62),",0",",0")</f>
        <v>613024,62|3,0,0</v>
      </c>
      <c r="D62" t="str">
        <f>CONCATENATE(612972,",",ROW(BCKQHDR_06610!D62),"|",COLUMN(BCKQHDR_06610!D62),",0",",0")</f>
        <v>612972,62|4,0,0</v>
      </c>
      <c r="E62" t="str">
        <f>CONCATENATE(613153,",",ROW(BCKQHDR_06610!E62),"|",COLUMN(BCKQHDR_06610!E62),",0",",0")</f>
        <v>613153,62|5,0,0</v>
      </c>
    </row>
    <row r="63" spans="1:5" x14ac:dyDescent="0.25">
      <c r="A63" t="str">
        <f>CONCATENATE(612889,",",ROW(BCKQHDR_06610!A63),"|",COLUMN(BCKQHDR_06610!A63),",0",",0")</f>
        <v>612889,63|1,0,0</v>
      </c>
      <c r="B63" t="str">
        <f>CONCATENATE(613137,",",ROW(BCKQHDR_06610!B63),"|",COLUMN(BCKQHDR_06610!B63),",0",",0")</f>
        <v>613137,63|2,0,0</v>
      </c>
      <c r="C63" t="str">
        <f>CONCATENATE(613025,",",ROW(BCKQHDR_06610!C63),"|",COLUMN(BCKQHDR_06610!C63),",0",",0")</f>
        <v>613025,63|3,0,0</v>
      </c>
      <c r="D63" t="str">
        <f>CONCATENATE(612973,",",ROW(BCKQHDR_06610!D63),"|",COLUMN(BCKQHDR_06610!D63),",0",",0")</f>
        <v>612973,63|4,0,0</v>
      </c>
      <c r="E63" t="str">
        <f>CONCATENATE(612899,",",ROW(BCKQHDR_06610!E63),"|",COLUMN(BCKQHDR_06610!E63),",0",",0")</f>
        <v>612899,63|5,0,0</v>
      </c>
    </row>
    <row r="64" spans="1:5" x14ac:dyDescent="0.25">
      <c r="A64" t="str">
        <f>CONCATENATE(612939,",",ROW(BCKQHDR_06610!A64),"|",COLUMN(BCKQHDR_06610!A64),",0",",0")</f>
        <v>612939,64|1,0,0</v>
      </c>
      <c r="B64" t="str">
        <f>CONCATENATE(612934,",",ROW(BCKQHDR_06610!B64),"|",COLUMN(BCKQHDR_06610!B64),",0",",0")</f>
        <v>612934,64|2,0,0</v>
      </c>
      <c r="C64" t="str">
        <f>CONCATENATE(613026,",",ROW(BCKQHDR_06610!C64),"|",COLUMN(BCKQHDR_06610!C64),",0",",0")</f>
        <v>613026,64|3,0,0</v>
      </c>
      <c r="D64" t="str">
        <f>CONCATENATE(612974,",",ROW(BCKQHDR_06610!D64),"|",COLUMN(BCKQHDR_06610!D64),",0",",0")</f>
        <v>612974,64|4,0,0</v>
      </c>
      <c r="E64" t="str">
        <f>CONCATENATE(612900,",",ROW(BCKQHDR_06610!E64),"|",COLUMN(BCKQHDR_06610!E64),",0",",0")</f>
        <v>612900,64|5,0,0</v>
      </c>
    </row>
    <row r="65" spans="1:5" x14ac:dyDescent="0.25">
      <c r="A65" t="str">
        <f>CONCATENATE(612941,",",ROW(BCKQHDR_06610!A65),"|",COLUMN(BCKQHDR_06610!A65),",0",",0")</f>
        <v>612941,65|1,0,0</v>
      </c>
      <c r="B65" t="str">
        <f>CONCATENATE(613072,",",ROW(BCKQHDR_06610!B65),"|",COLUMN(BCKQHDR_06610!B65),",0",",0")</f>
        <v>613072,65|2,0,0</v>
      </c>
      <c r="C65" t="str">
        <f>CONCATENATE(613027,",",ROW(BCKQHDR_06610!C65),"|",COLUMN(BCKQHDR_06610!C65),",0",",0")</f>
        <v>613027,65|3,0,0</v>
      </c>
      <c r="D65" t="str">
        <f>CONCATENATE(612975,",",ROW(BCKQHDR_06610!D65),"|",COLUMN(BCKQHDR_06610!D65),",0",",0")</f>
        <v>612975,65|4,0,0</v>
      </c>
      <c r="E65" t="str">
        <f>CONCATENATE(612901,",",ROW(BCKQHDR_06610!E65),"|",COLUMN(BCKQHDR_06610!E65),",0",",0")</f>
        <v>612901,65|5,0,0</v>
      </c>
    </row>
    <row r="66" spans="1:5" x14ac:dyDescent="0.25">
      <c r="A66" t="str">
        <f>CONCATENATE(612890,",",ROW(BCKQHDR_06610!A66),"|",COLUMN(BCKQHDR_06610!A66),",0",",0")</f>
        <v>612890,66|1,0,0</v>
      </c>
      <c r="B66" t="str">
        <f>CONCATENATE(613115,",",ROW(BCKQHDR_06610!B66),"|",COLUMN(BCKQHDR_06610!B66),",0",",0")</f>
        <v>613115,66|2,0,0</v>
      </c>
      <c r="C66" t="str">
        <f>CONCATENATE(613028,",",ROW(BCKQHDR_06610!C66),"|",COLUMN(BCKQHDR_06610!C66),",0",",0")</f>
        <v>613028,66|3,0,0</v>
      </c>
      <c r="D66" t="str">
        <f>CONCATENATE(612976,",",ROW(BCKQHDR_06610!D66),"|",COLUMN(BCKQHDR_06610!D66),",0",",0")</f>
        <v>612976,66|4,0,0</v>
      </c>
      <c r="E66" t="str">
        <f>CONCATENATE(613112,",",ROW(BCKQHDR_06610!E66),"|",COLUMN(BCKQHDR_06610!E66),",0",",0")</f>
        <v>613112,66|5,0,0</v>
      </c>
    </row>
    <row r="67" spans="1:5" x14ac:dyDescent="0.25">
      <c r="A67" t="str">
        <f>CONCATENATE(612942,",",ROW(BCKQHDR_06610!A67),"|",COLUMN(BCKQHDR_06610!A67),",0",",0")</f>
        <v>612942,67|1,0,0</v>
      </c>
      <c r="B67" t="str">
        <f>CONCATENATE(613138,",",ROW(BCKQHDR_06610!B67),"|",COLUMN(BCKQHDR_06610!B67),",0",",0")</f>
        <v>613138,67|2,0,0</v>
      </c>
      <c r="C67" t="str">
        <f>CONCATENATE(613029,",",ROW(BCKQHDR_06610!C67),"|",COLUMN(BCKQHDR_06610!C67),",0",",0")</f>
        <v>613029,67|3,0,0</v>
      </c>
      <c r="D67" t="str">
        <f>CONCATENATE(612977,",",ROW(BCKQHDR_06610!D67),"|",COLUMN(BCKQHDR_06610!D67),",0",",0")</f>
        <v>612977,67|4,0,0</v>
      </c>
      <c r="E67" t="str">
        <f>CONCATENATE(612935,",",ROW(BCKQHDR_06610!E67),"|",COLUMN(BCKQHDR_06610!E67),",0",",0")</f>
        <v>612935,67|5,0,0</v>
      </c>
    </row>
    <row r="68" spans="1:5" x14ac:dyDescent="0.25">
      <c r="A68" t="str">
        <f>CONCATENATE(613077,",",ROW(BCKQHDR_06610!A68),"|",COLUMN(BCKQHDR_06610!A68),",0",",0")</f>
        <v>613077,68|1,0,0</v>
      </c>
      <c r="B68" t="str">
        <f>CONCATENATE(613094,",",ROW(BCKQHDR_06610!B68),"|",COLUMN(BCKQHDR_06610!B68),",0",",0")</f>
        <v>613094,68|2,0,0</v>
      </c>
      <c r="C68" t="str">
        <f>CONCATENATE(613030,",",ROW(BCKQHDR_06610!C68),"|",COLUMN(BCKQHDR_06610!C68),",0",",0")</f>
        <v>613030,68|3,0,0</v>
      </c>
      <c r="D68" t="str">
        <f>CONCATENATE(612978,",",ROW(BCKQHDR_06610!D68),"|",COLUMN(BCKQHDR_06610!D68),",0",",0")</f>
        <v>612978,68|4,0,0</v>
      </c>
      <c r="E68" t="str">
        <f>CONCATENATE(613183,",",ROW(BCKQHDR_06610!E68),"|",COLUMN(BCKQHDR_06610!E68),",0",",0")</f>
        <v>613183,68|5,0,0</v>
      </c>
    </row>
    <row r="69" spans="1:5" x14ac:dyDescent="0.25">
      <c r="A69" t="str">
        <f>CONCATENATE(613084,",",ROW(BCKQHDR_06610!A69),"|",COLUMN(BCKQHDR_06610!A69),",0",",0")</f>
        <v>613084,69|1,0,0</v>
      </c>
      <c r="B69" t="str">
        <f>CONCATENATE(613074,",",ROW(BCKQHDR_06610!B69),"|",COLUMN(BCKQHDR_06610!B69),",0",",0")</f>
        <v>613074,69|2,0,0</v>
      </c>
      <c r="C69" t="str">
        <f>CONCATENATE(613031,",",ROW(BCKQHDR_06610!C69),"|",COLUMN(BCKQHDR_06610!C69),",0",",0")</f>
        <v>613031,69|3,0,0</v>
      </c>
      <c r="D69" t="str">
        <f>CONCATENATE(612979,",",ROW(BCKQHDR_06610!D69),"|",COLUMN(BCKQHDR_06610!D69),",0",",0")</f>
        <v>612979,69|4,0,0</v>
      </c>
      <c r="E69" t="str">
        <f>CONCATENATE(613154,",",ROW(BCKQHDR_06610!E69),"|",COLUMN(BCKQHDR_06610!E69),",0",",0")</f>
        <v>613154,69|5,0,0</v>
      </c>
    </row>
    <row r="70" spans="1:5" x14ac:dyDescent="0.25">
      <c r="A70" t="str">
        <f>CONCATENATE(612891,",",ROW(BCKQHDR_06610!A70),"|",COLUMN(BCKQHDR_06610!A70),",0",",0")</f>
        <v>612891,70|1,0,0</v>
      </c>
      <c r="B70" t="str">
        <f>CONCATENATE(613035,",",ROW(BCKQHDR_06610!B70),"|",COLUMN(BCKQHDR_06610!B70),",0",",0")</f>
        <v>613035,70|2,0,0</v>
      </c>
      <c r="C70" t="str">
        <f>CONCATENATE(613032,",",ROW(BCKQHDR_06610!C70),"|",COLUMN(BCKQHDR_06610!C70),",0",",0")</f>
        <v>613032,70|3,0,0</v>
      </c>
      <c r="D70" t="str">
        <f>CONCATENATE(612980,",",ROW(BCKQHDR_06610!D70),"|",COLUMN(BCKQHDR_06610!D70),",0",",0")</f>
        <v>612980,70|4,0,0</v>
      </c>
      <c r="E70" t="str">
        <f>CONCATENATE(613155,",",ROW(BCKQHDR_06610!E70),"|",COLUMN(BCKQHDR_06610!E70),",0",",0")</f>
        <v>613155,70|5,0,0</v>
      </c>
    </row>
    <row r="71" spans="1:5" x14ac:dyDescent="0.25">
      <c r="A71" t="str">
        <f>CONCATENATE(612949,",",ROW(BCKQHDR_06610!A71),"|",COLUMN(BCKQHDR_06610!A71),",0",",0")</f>
        <v>612949,71|1,0,0</v>
      </c>
      <c r="B71" t="str">
        <f>CONCATENATE(613116,",",ROW(BCKQHDR_06610!B71),"|",COLUMN(BCKQHDR_06610!B71),",0",",0")</f>
        <v>613116,71|2,0,0</v>
      </c>
      <c r="C71" t="str">
        <f>CONCATENATE(613033,",",ROW(BCKQHDR_06610!C71),"|",COLUMN(BCKQHDR_06610!C71),",0",",0")</f>
        <v>613033,71|3,0,0</v>
      </c>
      <c r="D71" t="str">
        <f>CONCATENATE(612981,",",ROW(BCKQHDR_06610!D71),"|",COLUMN(BCKQHDR_06610!D71),",0",",0")</f>
        <v>612981,71|4,0,0</v>
      </c>
      <c r="E71" t="str">
        <f>CONCATENATE(613156,",",ROW(BCKQHDR_06610!E71),"|",COLUMN(BCKQHDR_06610!E71),",0",",0")</f>
        <v>613156,71|5,0,0</v>
      </c>
    </row>
    <row r="72" spans="1:5" x14ac:dyDescent="0.25">
      <c r="A72" t="str">
        <f>CONCATENATE(613085,",",ROW(BCKQHDR_06610!A72),"|",COLUMN(BCKQHDR_06610!A72),",0",",0")</f>
        <v>613085,72|1,0,0</v>
      </c>
      <c r="B72" t="str">
        <f>CONCATENATE(613139,",",ROW(BCKQHDR_06610!B72),"|",COLUMN(BCKQHDR_06610!B72),",0",",0")</f>
        <v>613139,72|2,0,0</v>
      </c>
      <c r="C72" t="str">
        <f>CONCATENATE(613034,",",ROW(BCKQHDR_06610!C72),"|",COLUMN(BCKQHDR_06610!C72),",0",",0")</f>
        <v>613034,72|3,0,0</v>
      </c>
      <c r="D72" t="str">
        <f>CONCATENATE(612982,",",ROW(BCKQHDR_06610!D72),"|",COLUMN(BCKQHDR_06610!D72),",0",",0")</f>
        <v>612982,72|4,0,0</v>
      </c>
      <c r="E72" t="str">
        <f>CONCATENATE(613157,",",ROW(BCKQHDR_06610!E72),"|",COLUMN(BCKQHDR_06610!E72),",0",",0")</f>
        <v>613157,72|5,0,0</v>
      </c>
    </row>
    <row r="73" spans="1:5" x14ac:dyDescent="0.25">
      <c r="A73" t="str">
        <f>CONCATENATE(613097,",",ROW(BCKQHDR_06610!A73),"|",COLUMN(BCKQHDR_06610!A73),",0",",0")</f>
        <v>613097,73|1,0,0</v>
      </c>
      <c r="B73" t="str">
        <f>CONCATENATE(613117,",",ROW(BCKQHDR_06610!B73),"|",COLUMN(BCKQHDR_06610!B73),",0",",0")</f>
        <v>613117,73|2,0,0</v>
      </c>
      <c r="C73" t="str">
        <f>CONCATENATE(612907,",",ROW(BCKQHDR_06610!C73),"|",COLUMN(BCKQHDR_06610!C73),",0",",0")</f>
        <v>612907,73|3,0,0</v>
      </c>
      <c r="D73" t="str">
        <f>CONCATENATE(612983,",",ROW(BCKQHDR_06610!D73),"|",COLUMN(BCKQHDR_06610!D73),",0",",0")</f>
        <v>612983,73|4,0,0</v>
      </c>
      <c r="E73" t="str">
        <f>CONCATENATE(613158,",",ROW(BCKQHDR_06610!E73),"|",COLUMN(BCKQHDR_06610!E73),",0",",0")</f>
        <v>613158,73|5,0,0</v>
      </c>
    </row>
    <row r="74" spans="1:5" x14ac:dyDescent="0.25">
      <c r="A74" t="str">
        <f>CONCATENATE(613123,",",ROW(BCKQHDR_06610!A74),"|",COLUMN(BCKQHDR_06610!A74),",0",",0")</f>
        <v>613123,74|1,0,0</v>
      </c>
      <c r="B74" t="str">
        <f>CONCATENATE(613110,",",ROW(BCKQHDR_06610!B74),"|",COLUMN(BCKQHDR_06610!B74),",0",",0")</f>
        <v>613110,74|2,0,0</v>
      </c>
      <c r="C74" t="str">
        <f>CONCATENATE(612908,",",ROW(BCKQHDR_06610!C74),"|",COLUMN(BCKQHDR_06610!C74),",0",",0")</f>
        <v>612908,74|3,0,0</v>
      </c>
      <c r="D74" t="str">
        <f>CONCATENATE(612984,",",ROW(BCKQHDR_06610!D74),"|",COLUMN(BCKQHDR_06610!D74),",0",",0")</f>
        <v>612984,74|4,0,0</v>
      </c>
      <c r="E74" t="str">
        <f>CONCATENATE(613159,",",ROW(BCKQHDR_06610!E74),"|",COLUMN(BCKQHDR_06610!E74),",0",",0")</f>
        <v>613159,74|5,0,0</v>
      </c>
    </row>
  </sheetData>
  <sheetProtection password="CB7D"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43" workbookViewId="0">
      <selection activeCell="E47" sqref="E47"/>
    </sheetView>
  </sheetViews>
  <sheetFormatPr defaultRowHeight="15" x14ac:dyDescent="0.25"/>
  <cols>
    <col min="1" max="1" width="31.28515625" bestFit="1" customWidth="1"/>
    <col min="2" max="2" width="10.85546875" customWidth="1"/>
    <col min="3" max="3" width="6" customWidth="1"/>
    <col min="4" max="4" width="23.28515625" customWidth="1"/>
    <col min="5" max="5" width="23" customWidth="1"/>
  </cols>
  <sheetData>
    <row r="1" spans="1:5" ht="20.25" x14ac:dyDescent="0.3">
      <c r="A1" s="2216" t="s">
        <v>14</v>
      </c>
      <c r="B1" s="2216" t="s">
        <v>5</v>
      </c>
      <c r="C1" s="2216" t="s">
        <v>5</v>
      </c>
      <c r="D1" s="2216" t="s">
        <v>5</v>
      </c>
      <c r="E1" s="2216" t="s">
        <v>5</v>
      </c>
    </row>
    <row r="2" spans="1:5" ht="18.75" x14ac:dyDescent="0.3">
      <c r="A2" s="2217" t="s">
        <v>501</v>
      </c>
      <c r="B2" s="2217" t="s">
        <v>5</v>
      </c>
      <c r="C2" s="2217" t="s">
        <v>5</v>
      </c>
      <c r="D2" s="2217" t="s">
        <v>5</v>
      </c>
      <c r="E2" s="2217" t="s">
        <v>5</v>
      </c>
    </row>
    <row r="3" spans="1:5" ht="18.75" x14ac:dyDescent="0.3">
      <c r="A3" s="2217" t="s">
        <v>502</v>
      </c>
      <c r="B3" s="2217" t="s">
        <v>5</v>
      </c>
      <c r="C3" s="2217" t="s">
        <v>5</v>
      </c>
      <c r="D3" s="2217" t="s">
        <v>5</v>
      </c>
      <c r="E3" s="2217" t="s">
        <v>5</v>
      </c>
    </row>
    <row r="4" spans="1:5" ht="75" x14ac:dyDescent="0.25">
      <c r="A4" s="825" t="s">
        <v>383</v>
      </c>
      <c r="B4" s="825" t="s">
        <v>32</v>
      </c>
      <c r="C4" s="825" t="s">
        <v>33</v>
      </c>
      <c r="D4" s="825" t="s">
        <v>384</v>
      </c>
      <c r="E4" s="825" t="s">
        <v>385</v>
      </c>
    </row>
    <row r="5" spans="1:5" ht="16.5" x14ac:dyDescent="0.25">
      <c r="A5" s="931" t="s">
        <v>40</v>
      </c>
      <c r="B5" s="924" t="s">
        <v>113</v>
      </c>
      <c r="C5" s="966" t="s">
        <v>80</v>
      </c>
      <c r="D5" s="925" t="s">
        <v>222</v>
      </c>
      <c r="E5" s="953" t="s">
        <v>81</v>
      </c>
    </row>
    <row r="6" spans="1:5" ht="49.5" x14ac:dyDescent="0.25">
      <c r="A6" s="926" t="s">
        <v>536</v>
      </c>
      <c r="B6" s="824" t="s">
        <v>5</v>
      </c>
      <c r="C6" s="879"/>
      <c r="D6" s="982" t="s">
        <v>5</v>
      </c>
      <c r="E6" s="827" t="s">
        <v>5</v>
      </c>
    </row>
    <row r="7" spans="1:5" ht="49.5" x14ac:dyDescent="0.25">
      <c r="A7" s="832" t="s">
        <v>503</v>
      </c>
      <c r="B7" s="846" t="s">
        <v>222</v>
      </c>
      <c r="C7" s="956"/>
      <c r="D7" s="1893">
        <v>-3995804136329</v>
      </c>
      <c r="E7" s="1894">
        <v>-4780025229433</v>
      </c>
    </row>
    <row r="8" spans="1:5" ht="49.5" x14ac:dyDescent="0.25">
      <c r="A8" s="954" t="s">
        <v>551</v>
      </c>
      <c r="B8" s="847" t="s">
        <v>81</v>
      </c>
      <c r="C8" s="864"/>
      <c r="D8" s="1895">
        <v>4030262930355</v>
      </c>
      <c r="E8" s="1896">
        <v>4722236511905</v>
      </c>
    </row>
    <row r="9" spans="1:5" ht="49.5" x14ac:dyDescent="0.25">
      <c r="A9" s="967" t="s">
        <v>556</v>
      </c>
      <c r="B9" s="848" t="s">
        <v>377</v>
      </c>
      <c r="C9" s="865"/>
      <c r="D9" s="1897">
        <v>-1731913651</v>
      </c>
      <c r="E9" s="1898">
        <v>-2822470</v>
      </c>
    </row>
    <row r="10" spans="1:5" ht="33" x14ac:dyDescent="0.25">
      <c r="A10" s="927" t="s">
        <v>537</v>
      </c>
      <c r="B10" s="849" t="s">
        <v>378</v>
      </c>
      <c r="C10" s="866"/>
      <c r="D10" s="1899">
        <v>89756000</v>
      </c>
      <c r="E10" s="1900">
        <v>228050108</v>
      </c>
    </row>
    <row r="11" spans="1:5" ht="33" x14ac:dyDescent="0.25">
      <c r="A11" s="968" t="s">
        <v>557</v>
      </c>
      <c r="B11" s="850" t="s">
        <v>325</v>
      </c>
      <c r="C11" s="867"/>
      <c r="D11" s="1901">
        <v>14928489717</v>
      </c>
      <c r="E11" s="1902">
        <v>8650058258</v>
      </c>
    </row>
    <row r="12" spans="1:5" ht="49.5" x14ac:dyDescent="0.25">
      <c r="A12" s="969" t="s">
        <v>558</v>
      </c>
      <c r="B12" s="851" t="s">
        <v>381</v>
      </c>
      <c r="C12" s="868"/>
      <c r="D12" s="1903"/>
      <c r="E12" s="1904"/>
    </row>
    <row r="13" spans="1:5" ht="49.5" x14ac:dyDescent="0.25">
      <c r="A13" s="962" t="s">
        <v>553</v>
      </c>
      <c r="B13" s="902" t="s">
        <v>382</v>
      </c>
      <c r="C13" s="882"/>
      <c r="D13" s="1905">
        <v>-10327101858</v>
      </c>
      <c r="E13" s="1906">
        <v>-6993905697</v>
      </c>
    </row>
    <row r="14" spans="1:5" ht="49.5" x14ac:dyDescent="0.25">
      <c r="A14" s="951" t="s">
        <v>549</v>
      </c>
      <c r="B14" s="895" t="s">
        <v>326</v>
      </c>
      <c r="C14" s="880"/>
      <c r="D14" s="1907">
        <v>-13918689110</v>
      </c>
      <c r="E14" s="1908">
        <v>-10894049881</v>
      </c>
    </row>
    <row r="15" spans="1:5" ht="49.5" x14ac:dyDescent="0.25">
      <c r="A15" s="971" t="s">
        <v>560</v>
      </c>
      <c r="B15" s="896" t="s">
        <v>315</v>
      </c>
      <c r="C15" s="890"/>
      <c r="D15" s="1909">
        <v>-15793617663</v>
      </c>
      <c r="E15" s="1910">
        <v>-11018226220</v>
      </c>
    </row>
    <row r="16" spans="1:5" ht="66" x14ac:dyDescent="0.25">
      <c r="A16" s="833" t="s">
        <v>504</v>
      </c>
      <c r="B16" s="897" t="s">
        <v>379</v>
      </c>
      <c r="C16" s="957"/>
      <c r="D16" s="1911">
        <v>-24910615</v>
      </c>
      <c r="E16" s="1912">
        <v>-282047944</v>
      </c>
    </row>
    <row r="17" spans="1:5" ht="49.5" x14ac:dyDescent="0.25">
      <c r="A17" s="970" t="s">
        <v>559</v>
      </c>
      <c r="B17" s="898" t="s">
        <v>296</v>
      </c>
      <c r="C17" s="889"/>
      <c r="D17" s="1913">
        <v>39984083946</v>
      </c>
      <c r="E17" s="1914">
        <v>24640703622</v>
      </c>
    </row>
    <row r="18" spans="1:5" ht="66" x14ac:dyDescent="0.25">
      <c r="A18" s="834" t="s">
        <v>505</v>
      </c>
      <c r="B18" s="840" t="s">
        <v>327</v>
      </c>
      <c r="C18" s="892"/>
      <c r="D18" s="1915">
        <v>-9798005575</v>
      </c>
      <c r="E18" s="1916">
        <v>3254270535</v>
      </c>
    </row>
    <row r="19" spans="1:5" ht="51.75" x14ac:dyDescent="0.25">
      <c r="A19" s="835" t="s">
        <v>506</v>
      </c>
      <c r="B19" s="903" t="s">
        <v>524</v>
      </c>
      <c r="C19" s="958"/>
      <c r="D19" s="1917">
        <v>37866885217</v>
      </c>
      <c r="E19" s="1918">
        <v>-50206687217</v>
      </c>
    </row>
    <row r="20" spans="1:5" ht="49.5" x14ac:dyDescent="0.25">
      <c r="A20" s="972" t="s">
        <v>561</v>
      </c>
      <c r="B20" s="824" t="s">
        <v>5</v>
      </c>
      <c r="C20" s="933"/>
      <c r="D20" s="893" t="s">
        <v>5</v>
      </c>
      <c r="E20" s="831" t="s">
        <v>5</v>
      </c>
    </row>
    <row r="21" spans="1:5" ht="66" x14ac:dyDescent="0.25">
      <c r="A21" s="857" t="s">
        <v>520</v>
      </c>
      <c r="B21" s="945" t="s">
        <v>380</v>
      </c>
      <c r="C21" s="874"/>
      <c r="D21" s="1919">
        <v>-1500000000</v>
      </c>
      <c r="E21" s="1920">
        <v>-1260500000</v>
      </c>
    </row>
    <row r="22" spans="1:5" ht="66" x14ac:dyDescent="0.25">
      <c r="A22" s="858" t="s">
        <v>521</v>
      </c>
      <c r="B22" s="946" t="s">
        <v>547</v>
      </c>
      <c r="C22" s="883"/>
      <c r="D22" s="1921">
        <v>712827365</v>
      </c>
      <c r="E22" s="1922"/>
    </row>
    <row r="23" spans="1:5" ht="66" x14ac:dyDescent="0.25">
      <c r="A23" s="929" t="s">
        <v>539</v>
      </c>
      <c r="B23" s="930" t="s">
        <v>540</v>
      </c>
      <c r="C23" s="935"/>
      <c r="D23" s="1923"/>
      <c r="E23" s="1924"/>
    </row>
    <row r="24" spans="1:5" ht="66" x14ac:dyDescent="0.25">
      <c r="A24" s="932" t="s">
        <v>541</v>
      </c>
      <c r="B24" s="955" t="s">
        <v>552</v>
      </c>
      <c r="C24" s="934"/>
      <c r="D24" s="1925"/>
      <c r="E24" s="1926"/>
    </row>
    <row r="25" spans="1:5" ht="66" x14ac:dyDescent="0.25">
      <c r="A25" s="973" t="s">
        <v>562</v>
      </c>
      <c r="B25" s="947" t="s">
        <v>548</v>
      </c>
      <c r="C25" s="887"/>
      <c r="D25" s="1927"/>
      <c r="E25" s="1928"/>
    </row>
    <row r="26" spans="1:5" ht="49.5" x14ac:dyDescent="0.25">
      <c r="A26" s="915" t="s">
        <v>528</v>
      </c>
      <c r="B26" s="841" t="s">
        <v>511</v>
      </c>
      <c r="C26" s="859"/>
      <c r="D26" s="1929">
        <v>-787172635</v>
      </c>
      <c r="E26" s="1930">
        <v>-1260500000</v>
      </c>
    </row>
    <row r="27" spans="1:5" ht="49.5" x14ac:dyDescent="0.25">
      <c r="A27" s="928" t="s">
        <v>538</v>
      </c>
      <c r="B27" s="824" t="s">
        <v>5</v>
      </c>
      <c r="C27" s="860"/>
      <c r="D27" s="938" t="s">
        <v>5</v>
      </c>
      <c r="E27" s="909" t="s">
        <v>5</v>
      </c>
    </row>
    <row r="28" spans="1:5" ht="66" x14ac:dyDescent="0.25">
      <c r="A28" s="836" t="s">
        <v>507</v>
      </c>
      <c r="B28" s="842" t="s">
        <v>512</v>
      </c>
      <c r="C28" s="959"/>
      <c r="D28" s="1931"/>
      <c r="E28" s="1932"/>
    </row>
    <row r="29" spans="1:5" ht="66" x14ac:dyDescent="0.25">
      <c r="A29" s="940" t="s">
        <v>542</v>
      </c>
      <c r="B29" s="904" t="s">
        <v>525</v>
      </c>
      <c r="C29" s="884"/>
      <c r="D29" s="1933"/>
      <c r="E29" s="1934"/>
    </row>
    <row r="30" spans="1:5" ht="33" x14ac:dyDescent="0.25">
      <c r="A30" s="837" t="s">
        <v>508</v>
      </c>
      <c r="B30" s="899" t="s">
        <v>522</v>
      </c>
      <c r="C30" s="960"/>
      <c r="D30" s="1935"/>
      <c r="E30" s="1936"/>
    </row>
    <row r="31" spans="1:5" ht="49.5" x14ac:dyDescent="0.25">
      <c r="A31" s="941" t="s">
        <v>543</v>
      </c>
      <c r="B31" s="852" t="s">
        <v>516</v>
      </c>
      <c r="C31" s="869"/>
      <c r="D31" s="978" t="s">
        <v>5</v>
      </c>
      <c r="E31" s="912" t="s">
        <v>5</v>
      </c>
    </row>
    <row r="32" spans="1:5" ht="33" x14ac:dyDescent="0.25">
      <c r="A32" s="916" t="s">
        <v>529</v>
      </c>
      <c r="B32" s="905" t="s">
        <v>526</v>
      </c>
      <c r="C32" s="875"/>
      <c r="D32" s="981" t="s">
        <v>5</v>
      </c>
      <c r="E32" s="826" t="s">
        <v>5</v>
      </c>
    </row>
    <row r="33" spans="1:5" ht="33" x14ac:dyDescent="0.25">
      <c r="A33" s="838" t="s">
        <v>509</v>
      </c>
      <c r="B33" s="948" t="s">
        <v>347</v>
      </c>
      <c r="C33" s="961"/>
      <c r="D33" s="936" t="s">
        <v>5</v>
      </c>
      <c r="E33" s="907" t="s">
        <v>5</v>
      </c>
    </row>
    <row r="34" spans="1:5" ht="49.5" x14ac:dyDescent="0.25">
      <c r="A34" s="922" t="s">
        <v>534</v>
      </c>
      <c r="B34" s="853" t="s">
        <v>517</v>
      </c>
      <c r="C34" s="870"/>
      <c r="D34" s="979" t="s">
        <v>5</v>
      </c>
      <c r="E34" s="913" t="s">
        <v>5</v>
      </c>
    </row>
    <row r="35" spans="1:5" ht="49.5" x14ac:dyDescent="0.25">
      <c r="A35" s="942" t="s">
        <v>544</v>
      </c>
      <c r="B35" s="843" t="s">
        <v>513</v>
      </c>
      <c r="C35" s="861"/>
      <c r="D35" s="939" t="s">
        <v>5</v>
      </c>
      <c r="E35" s="910" t="s">
        <v>5</v>
      </c>
    </row>
    <row r="36" spans="1:5" ht="33" x14ac:dyDescent="0.25">
      <c r="A36" s="943" t="s">
        <v>545</v>
      </c>
      <c r="B36" s="906" t="s">
        <v>527</v>
      </c>
      <c r="C36" s="885"/>
      <c r="D36" s="984" t="s">
        <v>5</v>
      </c>
      <c r="E36" s="829" t="s">
        <v>5</v>
      </c>
    </row>
    <row r="37" spans="1:5" ht="49.5" x14ac:dyDescent="0.25">
      <c r="A37" s="944" t="s">
        <v>546</v>
      </c>
      <c r="B37" s="854" t="s">
        <v>331</v>
      </c>
      <c r="C37" s="871"/>
      <c r="D37" s="980" t="s">
        <v>5</v>
      </c>
      <c r="E37" s="914" t="s">
        <v>5</v>
      </c>
    </row>
    <row r="38" spans="1:5" ht="49.5" x14ac:dyDescent="0.25">
      <c r="A38" s="923" t="s">
        <v>535</v>
      </c>
      <c r="B38" s="844" t="s">
        <v>514</v>
      </c>
      <c r="C38" s="862"/>
      <c r="D38" s="977" t="s">
        <v>5</v>
      </c>
      <c r="E38" s="911" t="s">
        <v>5</v>
      </c>
    </row>
    <row r="39" spans="1:5" ht="51.75" x14ac:dyDescent="0.25">
      <c r="A39" s="952" t="s">
        <v>550</v>
      </c>
      <c r="B39" s="974" t="s">
        <v>488</v>
      </c>
      <c r="C39" s="881"/>
      <c r="D39" s="983" t="s">
        <v>5</v>
      </c>
      <c r="E39" s="828" t="s">
        <v>5</v>
      </c>
    </row>
    <row r="40" spans="1:5" ht="49.5" x14ac:dyDescent="0.25">
      <c r="A40" s="917" t="s">
        <v>530</v>
      </c>
      <c r="B40" s="855" t="s">
        <v>518</v>
      </c>
      <c r="C40" s="872"/>
      <c r="D40" s="1937">
        <v>37079712582</v>
      </c>
      <c r="E40" s="1938">
        <v>-51467187217</v>
      </c>
    </row>
    <row r="41" spans="1:5" ht="49.5" x14ac:dyDescent="0.25">
      <c r="A41" s="918" t="s">
        <v>531</v>
      </c>
      <c r="B41" s="845" t="s">
        <v>515</v>
      </c>
      <c r="C41" s="863"/>
      <c r="D41" s="1939">
        <v>17449222714</v>
      </c>
      <c r="E41" s="1940">
        <v>83765938770</v>
      </c>
    </row>
    <row r="42" spans="1:5" ht="33" x14ac:dyDescent="0.25">
      <c r="A42" s="976" t="s">
        <v>533</v>
      </c>
      <c r="B42" s="856" t="s">
        <v>519</v>
      </c>
      <c r="C42" s="873"/>
      <c r="D42" s="1941">
        <v>14449222714</v>
      </c>
      <c r="E42" s="1942">
        <v>8265938770</v>
      </c>
    </row>
    <row r="43" spans="1:5" ht="33" x14ac:dyDescent="0.25">
      <c r="A43" s="919" t="s">
        <v>532</v>
      </c>
      <c r="B43" s="949" t="s">
        <v>431</v>
      </c>
      <c r="C43" s="876"/>
      <c r="D43" s="1943">
        <v>3000000000</v>
      </c>
      <c r="E43" s="1944">
        <v>75500000000</v>
      </c>
    </row>
    <row r="44" spans="1:5" ht="49.5" x14ac:dyDescent="0.25">
      <c r="A44" s="839" t="s">
        <v>510</v>
      </c>
      <c r="B44" s="900" t="s">
        <v>523</v>
      </c>
      <c r="C44" s="963"/>
      <c r="D44" s="937" t="s">
        <v>5</v>
      </c>
      <c r="E44" s="908" t="s">
        <v>5</v>
      </c>
    </row>
    <row r="45" spans="1:5" ht="66" x14ac:dyDescent="0.25">
      <c r="A45" s="975" t="s">
        <v>563</v>
      </c>
      <c r="B45" s="950" t="s">
        <v>404</v>
      </c>
      <c r="C45" s="886"/>
      <c r="D45" s="1945">
        <v>54528935296</v>
      </c>
      <c r="E45" s="1946">
        <v>32298751553</v>
      </c>
    </row>
    <row r="46" spans="1:5" ht="33" x14ac:dyDescent="0.25">
      <c r="A46" s="920" t="s">
        <v>533</v>
      </c>
      <c r="B46" s="901" t="s">
        <v>405</v>
      </c>
      <c r="C46" s="877"/>
      <c r="D46" s="1947">
        <v>4528935296</v>
      </c>
      <c r="E46" s="1948">
        <v>25798751553</v>
      </c>
    </row>
    <row r="47" spans="1:5" ht="33" x14ac:dyDescent="0.25">
      <c r="A47" s="921" t="s">
        <v>532</v>
      </c>
      <c r="B47" s="964" t="s">
        <v>554</v>
      </c>
      <c r="C47" s="878"/>
      <c r="D47" s="1949">
        <v>50000000000</v>
      </c>
      <c r="E47" s="1950">
        <v>6500000000</v>
      </c>
    </row>
    <row r="48" spans="1:5" ht="49.5" x14ac:dyDescent="0.25">
      <c r="A48" s="894" t="s">
        <v>510</v>
      </c>
      <c r="B48" s="965" t="s">
        <v>555</v>
      </c>
      <c r="C48" s="888"/>
      <c r="D48" s="891" t="s">
        <v>5</v>
      </c>
      <c r="E48" s="830" t="s">
        <v>5</v>
      </c>
    </row>
  </sheetData>
  <mergeCells count="3">
    <mergeCell ref="A1:E1"/>
    <mergeCell ref="A2:E2"/>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Trang bìa</vt:lpstr>
      <vt:lpstr>Setting</vt:lpstr>
      <vt:lpstr>BCTCR_06608</vt:lpstr>
      <vt:lpstr>7672_hidden</vt:lpstr>
      <vt:lpstr>CCTTCR_06609</vt:lpstr>
      <vt:lpstr>7668_hidden</vt:lpstr>
      <vt:lpstr>BCKQHDR_06610</vt:lpstr>
      <vt:lpstr>7665_hidden</vt:lpstr>
      <vt:lpstr>BCLCTTRTT_06611</vt:lpstr>
      <vt:lpstr>7669_hidden</vt:lpstr>
      <vt:lpstr>PLCTTHDMGUTCKHTT_06612</vt:lpstr>
      <vt:lpstr>7666_hidden</vt:lpstr>
      <vt:lpstr>BCLCTTRGT_06613</vt:lpstr>
      <vt:lpstr>7671_hidden</vt:lpstr>
      <vt:lpstr>PLCTTHDMGUTCKHGT_06614</vt:lpstr>
      <vt:lpstr>7667_hidden</vt:lpstr>
      <vt:lpstr>BCTHBDVCSH_06615</vt:lpstr>
      <vt:lpstr>7670_hidden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Ngô Thị Quỳnh Liên</dc:creator>
  <cp:lastModifiedBy>Lương Thị Hồng Cẩm</cp:lastModifiedBy>
  <dcterms:created xsi:type="dcterms:W3CDTF">2020-06-04T03:29:47Z</dcterms:created>
  <dcterms:modified xsi:type="dcterms:W3CDTF">2023-01-17T08:24:37Z</dcterms:modified>
</cp:coreProperties>
</file>